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93" activeTab="1"/>
  </bookViews>
  <sheets>
    <sheet name="Help" sheetId="1" r:id="rId1"/>
    <sheet name="Võistluste järjestused" sheetId="2" r:id="rId2"/>
    <sheet name="Tulemused" sheetId="3" r:id="rId3"/>
    <sheet name="Hindamisleht" sheetId="4" r:id="rId4"/>
  </sheets>
  <definedNames>
    <definedName name="_xlnm.Print_Area" localSheetId="0">'Help'!$A$1:$B$26</definedName>
    <definedName name="_xlnm.Print_Area" localSheetId="3">'Hindamisleht'!$A$1:$F$39</definedName>
    <definedName name="_xlnm.Print_Area" localSheetId="2">'Tulemused'!$A$1:$AP$37</definedName>
    <definedName name="_xlnm.Print_Area" localSheetId="1">'Võistluste järjestused'!$B$2:$D$63</definedName>
  </definedNames>
  <calcPr fullCalcOnLoad="1"/>
</workbook>
</file>

<file path=xl/sharedStrings.xml><?xml version="1.0" encoding="utf-8"?>
<sst xmlns="http://schemas.openxmlformats.org/spreadsheetml/2006/main" count="174" uniqueCount="97">
  <si>
    <t>Kuidas kasutada antud faili:</t>
  </si>
  <si>
    <t>Üldine ülesehitus:</t>
  </si>
  <si>
    <t>Help: üldinfo faili kasutamiseks</t>
  </si>
  <si>
    <t>Võtete järjestused: leht, kus pannakse paika võistlusega seotud võtete järjestused kõikidele klassidele</t>
  </si>
  <si>
    <t>Tulemuste koondtabel: leht, kuhu:</t>
  </si>
  <si>
    <t>- sisestatakse võistlejate andmed</t>
  </si>
  <si>
    <t>- sisestatakse võistlejate tulemused</t>
  </si>
  <si>
    <t>Hinneteleht: leht iga võistleja kohta väljatrükkimiseks. Siin ei täideta midagi. Sisestatakse vaid võistleja number.</t>
  </si>
  <si>
    <t>Hinnetelehe saab kasutada tühjade blanketide väljatrükkimiseks.</t>
  </si>
  <si>
    <t>NB!</t>
  </si>
  <si>
    <t>Täita tuleb vaid kollaseks märgitud lahtrid</t>
  </si>
  <si>
    <t>Ära lisa ridu või veerge. Valemid lähevad paigast ära!</t>
  </si>
  <si>
    <t>Copyright: Aleksander Andre</t>
  </si>
  <si>
    <t>Korraldaja</t>
  </si>
  <si>
    <t>Peakorraldaja</t>
  </si>
  <si>
    <t>Koht</t>
  </si>
  <si>
    <t>Kohtunik</t>
  </si>
  <si>
    <t>Kuupäev</t>
  </si>
  <si>
    <t>SK ALG</t>
  </si>
  <si>
    <t>Punktide %</t>
  </si>
  <si>
    <t>Võistluse järjestus</t>
  </si>
  <si>
    <t>Võte</t>
  </si>
  <si>
    <t>Koefitsient</t>
  </si>
  <si>
    <t>Klass</t>
  </si>
  <si>
    <t>Maks punktid</t>
  </si>
  <si>
    <t>I järk</t>
  </si>
  <si>
    <t>II järk</t>
  </si>
  <si>
    <t>III järk</t>
  </si>
  <si>
    <t>Ligipääsetavus</t>
  </si>
  <si>
    <t>Rühmas lamamine</t>
  </si>
  <si>
    <t>SK 1</t>
  </si>
  <si>
    <t>Liikumine kõrval rihma otsas</t>
  </si>
  <si>
    <t>SK 2</t>
  </si>
  <si>
    <t>Lamama minek liikumise pealt</t>
  </si>
  <si>
    <t>SK 3</t>
  </si>
  <si>
    <t>Juurdekutsumine</t>
  </si>
  <si>
    <t>Seisma jäämine liikumise pealt</t>
  </si>
  <si>
    <t>Min punktid</t>
  </si>
  <si>
    <t>Juurdekutsumine koos hüppega üle tõkke</t>
  </si>
  <si>
    <t>Üldmulje</t>
  </si>
  <si>
    <t>Rühmas istumine 1 minuti, koerajuht on koera vaateväljas</t>
  </si>
  <si>
    <t>Hinded</t>
  </si>
  <si>
    <t>Kõrvalkõnd</t>
  </si>
  <si>
    <t>Võrratu</t>
  </si>
  <si>
    <t>Väga hea</t>
  </si>
  <si>
    <t>Hea</t>
  </si>
  <si>
    <t>Suurepärane</t>
  </si>
  <si>
    <t>Istuma või lamama minek liikumise pealt</t>
  </si>
  <si>
    <t>Saatmine ruutu ja lamama minek</t>
  </si>
  <si>
    <t>Puidust hantli toomine</t>
  </si>
  <si>
    <t>Kaugjuhtimine</t>
  </si>
  <si>
    <t>Ümber koonuse saatmine ja tagasitulek</t>
  </si>
  <si>
    <t>Rühmas lamamine 2 minutit, koerajuht on koera vaateväljast väljas</t>
  </si>
  <si>
    <t>Seisma jäämine, istuma, lamama minek liikumise pealt (kaks kolmest asendist)</t>
  </si>
  <si>
    <t>Juurdekutsumine seisma jäämisega</t>
  </si>
  <si>
    <t>Eemale saatmine koos lamama minekuga, juurdekutsumine</t>
  </si>
  <si>
    <t>Suunatud toomine</t>
  </si>
  <si>
    <t>Eseme äratundmine ja toomine</t>
  </si>
  <si>
    <t>Tõkkest ülehüppamine ja metalleseme toomine</t>
  </si>
  <si>
    <t>Istumine rühmas 2 minutit, koerajuht on koera vaateväljast väljas</t>
  </si>
  <si>
    <t>Lamamine rühmas 1 minut ja juurdekutsumine</t>
  </si>
  <si>
    <t>Seisma jäämine, istuma ja lamama minek liikumise pealt</t>
  </si>
  <si>
    <t>Juurdekutsumine koos seisma jäämise ja lamama minekuga</t>
  </si>
  <si>
    <t>Suunatud eemale saatmine koos lamama minekuga ja juurdekutsumine</t>
  </si>
  <si>
    <t>Ümber koonuse saatmine, asendid, eseme toomine ja hüpe üle tökke</t>
  </si>
  <si>
    <t>Σ</t>
  </si>
  <si>
    <t>kollane kaart</t>
  </si>
  <si>
    <t>=</t>
  </si>
  <si>
    <t>nr</t>
  </si>
  <si>
    <t>Koerajuht</t>
  </si>
  <si>
    <t>Koera nimi</t>
  </si>
  <si>
    <t>Koera tõug</t>
  </si>
  <si>
    <t>Reg. Nr</t>
  </si>
  <si>
    <t>ID nr.</t>
  </si>
  <si>
    <t>Võtted</t>
  </si>
  <si>
    <t>Koeffitsiendid</t>
  </si>
  <si>
    <t>Katkestas 
(x)</t>
  </si>
  <si>
    <t>Kollane kaart (tk)</t>
  </si>
  <si>
    <t>Punane kaart (tk)</t>
  </si>
  <si>
    <t>DSQ
(x)</t>
  </si>
  <si>
    <t>DSQ</t>
  </si>
  <si>
    <t>Punktid kokku</t>
  </si>
  <si>
    <t>Järk</t>
  </si>
  <si>
    <t>Tulemus</t>
  </si>
  <si>
    <t>Punktid ALG</t>
  </si>
  <si>
    <t>Punktid SK1</t>
  </si>
  <si>
    <t>Punktid SK2</t>
  </si>
  <si>
    <t>Punktid SK3</t>
  </si>
  <si>
    <t>Sõnakuulelikkuse võistlused</t>
  </si>
  <si>
    <t>Hindamisleht</t>
  </si>
  <si>
    <t>Võistleja nr</t>
  </si>
  <si>
    <t>Kui vaja puhast blanki (võistleja nr peab olema tühi)</t>
  </si>
  <si>
    <t>Punktid</t>
  </si>
  <si>
    <t>Koef.</t>
  </si>
  <si>
    <t>Summa</t>
  </si>
  <si>
    <t>Vahesumma</t>
  </si>
  <si>
    <t>Katkestas: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</si>
</sst>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1"/>
      <color indexed="10"/>
      <name val="Arial"/>
      <family val="2"/>
    </font>
    <font>
      <sz val="9"/>
      <name val="Arial"/>
      <family val="1"/>
    </font>
    <font>
      <b/>
      <sz val="9"/>
      <color indexed="53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1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9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9" fillId="0" borderId="13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9" fillId="0" borderId="13" xfId="0" applyFont="1" applyBorder="1" applyAlignment="1">
      <alignment horizontal="right" wrapText="1"/>
    </xf>
    <xf numFmtId="0" fontId="14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Border="1" applyAlignment="1">
      <alignment horizontal="left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horizontal="left"/>
    </xf>
    <xf numFmtId="0" fontId="2" fillId="34" borderId="0" xfId="0" applyFont="1" applyFill="1" applyAlignment="1">
      <alignment horizontal="left" vertical="center" indent="1"/>
    </xf>
    <xf numFmtId="0" fontId="19" fillId="0" borderId="0" xfId="0" applyFont="1" applyAlignment="1">
      <alignment/>
    </xf>
    <xf numFmtId="0" fontId="15" fillId="34" borderId="0" xfId="0" applyFont="1" applyFill="1" applyAlignment="1">
      <alignment/>
    </xf>
    <xf numFmtId="0" fontId="2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35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165" fontId="10" fillId="36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Untitled4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0</xdr:rowOff>
    </xdr:from>
    <xdr:to>
      <xdr:col>3</xdr:col>
      <xdr:colOff>1114425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80975"/>
          <a:ext cx="6096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0</xdr:row>
      <xdr:rowOff>28575</xdr:rowOff>
    </xdr:from>
    <xdr:to>
      <xdr:col>5</xdr:col>
      <xdr:colOff>628650</xdr:colOff>
      <xdr:row>3</xdr:row>
      <xdr:rowOff>219075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9715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zoomScale="88" zoomScaleNormal="88" zoomScalePageLayoutView="0" workbookViewId="0" topLeftCell="A1">
      <selection activeCell="B5" sqref="B5"/>
    </sheetView>
  </sheetViews>
  <sheetFormatPr defaultColWidth="11.57421875" defaultRowHeight="12.75"/>
  <cols>
    <col min="1" max="1" width="7.421875" style="1" customWidth="1"/>
    <col min="2" max="2" width="106.140625" style="1" customWidth="1"/>
    <col min="3" max="16384" width="11.57421875" style="1" customWidth="1"/>
  </cols>
  <sheetData>
    <row r="1" ht="15">
      <c r="A1" s="1" t="s">
        <v>0</v>
      </c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B7" s="1" t="s">
        <v>5</v>
      </c>
    </row>
    <row r="8" ht="15">
      <c r="B8" s="1" t="s">
        <v>6</v>
      </c>
    </row>
    <row r="9" ht="15">
      <c r="A9" s="1" t="s">
        <v>7</v>
      </c>
    </row>
    <row r="10" ht="15">
      <c r="B10" s="1" t="s">
        <v>8</v>
      </c>
    </row>
    <row r="12" ht="15">
      <c r="A12" s="1" t="s">
        <v>9</v>
      </c>
    </row>
    <row r="13" ht="15">
      <c r="A13" s="1" t="s">
        <v>10</v>
      </c>
    </row>
    <row r="14" ht="15">
      <c r="A14" s="1" t="s">
        <v>11</v>
      </c>
    </row>
    <row r="16" ht="15">
      <c r="A16" s="1" t="s">
        <v>12</v>
      </c>
    </row>
  </sheetData>
  <sheetProtection selectLockedCells="1" selectUnlockedCells="1"/>
  <printOptions horizontalCentered="1"/>
  <pageMargins left="0.8194444444444444" right="0.5" top="0.65" bottom="0.4770833333333333" header="0.38472222222222224" footer="0.21180555555555555"/>
  <pageSetup firstPageNumber="1" useFirstPageNumber="1" fitToHeight="1" fitToWidth="1" horizontalDpi="300" verticalDpi="300" orientation="portrait" paperSize="9"/>
  <headerFooter alignWithMargins="0">
    <oddHeader>&amp;R&amp;"Times New Roman,Regular"&amp;12EKL-KKK</oddHeader>
    <oddFooter>&amp;C&amp;"Times New Roman,Regular"&amp;12&amp;A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tabSelected="1" zoomScale="88" zoomScaleNormal="88" zoomScalePageLayoutView="0" workbookViewId="0" topLeftCell="A1">
      <selection activeCell="J5" sqref="J5"/>
    </sheetView>
  </sheetViews>
  <sheetFormatPr defaultColWidth="11.57421875" defaultRowHeight="12.75"/>
  <cols>
    <col min="1" max="1" width="4.140625" style="0" customWidth="1"/>
    <col min="2" max="2" width="13.57421875" style="0" customWidth="1"/>
    <col min="3" max="3" width="57.421875" style="2" customWidth="1"/>
    <col min="4" max="4" width="16.7109375" style="0" customWidth="1"/>
    <col min="5" max="5" width="10.28125" style="3" customWidth="1"/>
    <col min="6" max="6" width="8.57421875" style="0" customWidth="1"/>
    <col min="7" max="7" width="13.140625" style="2" customWidth="1"/>
    <col min="8" max="9" width="11.8515625" style="0" customWidth="1"/>
  </cols>
  <sheetData>
    <row r="2" spans="2:11" ht="15.75">
      <c r="B2" s="4" t="s">
        <v>13</v>
      </c>
      <c r="C2" s="5"/>
      <c r="K2" s="1"/>
    </row>
    <row r="3" spans="2:3" ht="15.75">
      <c r="B3" s="4" t="s">
        <v>14</v>
      </c>
      <c r="C3" s="5"/>
    </row>
    <row r="4" spans="2:3" ht="15.75">
      <c r="B4" s="4" t="s">
        <v>15</v>
      </c>
      <c r="C4" s="5"/>
    </row>
    <row r="5" spans="2:3" ht="15.75">
      <c r="B5" s="4" t="s">
        <v>16</v>
      </c>
      <c r="C5" s="5"/>
    </row>
    <row r="6" spans="2:3" ht="15.75">
      <c r="B6" s="4" t="s">
        <v>17</v>
      </c>
      <c r="C6" s="6"/>
    </row>
    <row r="9" spans="2:10" ht="15.75">
      <c r="B9" s="7" t="s">
        <v>18</v>
      </c>
      <c r="C9" s="8">
        <f>IF(SUM(B11:B18)&lt;&gt;36,"Viga järjestuses. Kontrolli üle!!!","")</f>
      </c>
      <c r="F9" s="9" t="s">
        <v>19</v>
      </c>
      <c r="G9" s="10"/>
      <c r="H9" s="11"/>
      <c r="I9" s="11"/>
      <c r="J9" s="11"/>
    </row>
    <row r="10" spans="2:10" ht="24">
      <c r="B10" s="12" t="s">
        <v>20</v>
      </c>
      <c r="C10" s="12" t="s">
        <v>21</v>
      </c>
      <c r="D10" s="13" t="s">
        <v>22</v>
      </c>
      <c r="F10" s="14" t="s">
        <v>23</v>
      </c>
      <c r="G10" s="15" t="s">
        <v>24</v>
      </c>
      <c r="H10" s="16" t="s">
        <v>25</v>
      </c>
      <c r="I10" s="16" t="s">
        <v>26</v>
      </c>
      <c r="J10" s="16" t="s">
        <v>27</v>
      </c>
    </row>
    <row r="11" spans="2:10" ht="15">
      <c r="B11" s="17">
        <v>1</v>
      </c>
      <c r="C11" s="18" t="s">
        <v>28</v>
      </c>
      <c r="D11" s="19">
        <v>1</v>
      </c>
      <c r="E11" s="20">
        <f aca="true" t="shared" si="0" ref="E11:E18">IF(COUNTIF($B$11:$B$18,B11)&gt;1,"VIGA!!!","")</f>
      </c>
      <c r="F11" s="4" t="s">
        <v>18</v>
      </c>
      <c r="G11" s="21">
        <v>200</v>
      </c>
      <c r="H11" s="22">
        <v>0.8</v>
      </c>
      <c r="I11" s="22">
        <v>0.7</v>
      </c>
      <c r="J11" s="22">
        <v>0.5</v>
      </c>
    </row>
    <row r="12" spans="2:10" ht="15">
      <c r="B12" s="17">
        <v>2</v>
      </c>
      <c r="C12" s="18" t="s">
        <v>29</v>
      </c>
      <c r="D12" s="19">
        <v>3</v>
      </c>
      <c r="E12" s="20">
        <f t="shared" si="0"/>
      </c>
      <c r="F12" s="4" t="s">
        <v>30</v>
      </c>
      <c r="G12" s="21">
        <v>320</v>
      </c>
      <c r="H12" s="22">
        <v>0.8</v>
      </c>
      <c r="I12" s="22">
        <v>0.7</v>
      </c>
      <c r="J12" s="22">
        <v>0.6</v>
      </c>
    </row>
    <row r="13" spans="2:10" ht="15">
      <c r="B13" s="17">
        <v>3</v>
      </c>
      <c r="C13" s="18" t="s">
        <v>31</v>
      </c>
      <c r="D13" s="19">
        <v>3</v>
      </c>
      <c r="E13" s="20">
        <f t="shared" si="0"/>
      </c>
      <c r="F13" s="4" t="s">
        <v>32</v>
      </c>
      <c r="G13" s="21">
        <v>320</v>
      </c>
      <c r="H13" s="22">
        <v>0.8</v>
      </c>
      <c r="I13" s="22">
        <v>0.7</v>
      </c>
      <c r="J13" s="22">
        <v>0.6</v>
      </c>
    </row>
    <row r="14" spans="2:10" ht="15">
      <c r="B14" s="17">
        <v>4</v>
      </c>
      <c r="C14" s="18" t="s">
        <v>33</v>
      </c>
      <c r="D14" s="19">
        <v>3</v>
      </c>
      <c r="E14" s="20">
        <f t="shared" si="0"/>
      </c>
      <c r="F14" s="4" t="s">
        <v>34</v>
      </c>
      <c r="G14" s="21">
        <v>320</v>
      </c>
      <c r="H14" s="22">
        <v>0.8</v>
      </c>
      <c r="I14" s="22">
        <v>0.7</v>
      </c>
      <c r="J14" s="22">
        <v>0.6</v>
      </c>
    </row>
    <row r="15" spans="2:7" ht="15">
      <c r="B15" s="17">
        <v>5</v>
      </c>
      <c r="C15" s="18" t="s">
        <v>35</v>
      </c>
      <c r="D15" s="19">
        <v>3</v>
      </c>
      <c r="E15" s="20">
        <f t="shared" si="0"/>
      </c>
      <c r="G15" s="23"/>
    </row>
    <row r="16" spans="2:10" ht="15">
      <c r="B16" s="17">
        <v>6</v>
      </c>
      <c r="C16" s="18" t="s">
        <v>36</v>
      </c>
      <c r="D16" s="19">
        <v>3</v>
      </c>
      <c r="E16" s="20">
        <f t="shared" si="0"/>
      </c>
      <c r="F16" s="9" t="s">
        <v>37</v>
      </c>
      <c r="G16" s="24"/>
      <c r="H16" s="11"/>
      <c r="I16" s="11"/>
      <c r="J16" s="11"/>
    </row>
    <row r="17" spans="2:10" ht="15">
      <c r="B17" s="17">
        <v>7</v>
      </c>
      <c r="C17" s="18" t="s">
        <v>38</v>
      </c>
      <c r="D17" s="19">
        <v>3</v>
      </c>
      <c r="E17" s="20">
        <f t="shared" si="0"/>
      </c>
      <c r="F17" s="14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</row>
    <row r="18" spans="2:10" ht="15">
      <c r="B18" s="17">
        <v>8</v>
      </c>
      <c r="C18" s="18" t="s">
        <v>39</v>
      </c>
      <c r="D18" s="19">
        <v>1</v>
      </c>
      <c r="E18" s="20">
        <f t="shared" si="0"/>
      </c>
      <c r="F18" s="4" t="s">
        <v>18</v>
      </c>
      <c r="G18" s="21">
        <v>200</v>
      </c>
      <c r="H18" s="25">
        <f>$G18*H11</f>
        <v>160</v>
      </c>
      <c r="I18" s="25">
        <f>$G18*I11</f>
        <v>140</v>
      </c>
      <c r="J18" s="25">
        <f>$G18*J11</f>
        <v>100</v>
      </c>
    </row>
    <row r="19" spans="2:10" ht="14.25">
      <c r="B19" s="26"/>
      <c r="C19" s="27"/>
      <c r="D19" s="19">
        <f>SUM(D11:D18)</f>
        <v>20</v>
      </c>
      <c r="F19" s="4" t="s">
        <v>30</v>
      </c>
      <c r="G19" s="21">
        <v>320</v>
      </c>
      <c r="H19" s="25">
        <f>$G19*H12</f>
        <v>256</v>
      </c>
      <c r="I19" s="25">
        <f>$G19*I12</f>
        <v>224</v>
      </c>
      <c r="J19" s="25">
        <f>$G19*J12</f>
        <v>192</v>
      </c>
    </row>
    <row r="20" spans="4:10" ht="14.25">
      <c r="D20" s="28"/>
      <c r="F20" s="4" t="s">
        <v>32</v>
      </c>
      <c r="G20" s="21">
        <v>320</v>
      </c>
      <c r="H20" s="25">
        <f>$G20*H13</f>
        <v>256</v>
      </c>
      <c r="I20" s="25">
        <f>$G20*I13</f>
        <v>224</v>
      </c>
      <c r="J20" s="25">
        <f>$G20*J13</f>
        <v>192</v>
      </c>
    </row>
    <row r="21" spans="2:10" ht="15.75">
      <c r="B21" s="7" t="s">
        <v>30</v>
      </c>
      <c r="C21" s="8">
        <f>IF(SUM(B23:B33)&lt;&gt;66,"Viga järjestuses. Kontrolli üle!!!","")</f>
      </c>
      <c r="D21" s="28"/>
      <c r="F21" s="4" t="s">
        <v>34</v>
      </c>
      <c r="G21" s="21">
        <v>320</v>
      </c>
      <c r="H21" s="25">
        <f>$G21*H14</f>
        <v>256</v>
      </c>
      <c r="I21" s="25">
        <f>$G21*I14</f>
        <v>224</v>
      </c>
      <c r="J21" s="25">
        <f>$G21*J14</f>
        <v>192</v>
      </c>
    </row>
    <row r="22" spans="2:10" ht="24">
      <c r="B22" s="12" t="s">
        <v>20</v>
      </c>
      <c r="C22" s="12" t="s">
        <v>21</v>
      </c>
      <c r="D22" s="13" t="s">
        <v>22</v>
      </c>
      <c r="F22" s="11"/>
      <c r="G22" s="29"/>
      <c r="H22" s="11"/>
      <c r="I22" s="11"/>
      <c r="J22" s="11"/>
    </row>
    <row r="23" spans="2:10" ht="15">
      <c r="B23" s="17">
        <v>1</v>
      </c>
      <c r="C23" s="18" t="s">
        <v>40</v>
      </c>
      <c r="D23" s="19">
        <v>3</v>
      </c>
      <c r="E23" s="20">
        <f aca="true" t="shared" si="1" ref="E23:E33">IF(COUNTIF($B$23:$B$33,B23)&gt;1,"VIGA!!!","")</f>
      </c>
      <c r="F23" s="9" t="s">
        <v>41</v>
      </c>
      <c r="G23" s="29"/>
      <c r="H23" s="11"/>
      <c r="I23" s="11"/>
      <c r="J23" s="11"/>
    </row>
    <row r="24" spans="2:10" ht="15">
      <c r="B24" s="17">
        <v>2</v>
      </c>
      <c r="C24" s="18" t="s">
        <v>42</v>
      </c>
      <c r="D24" s="19">
        <v>3</v>
      </c>
      <c r="E24" s="20">
        <f t="shared" si="1"/>
      </c>
      <c r="F24" s="14" t="s">
        <v>23</v>
      </c>
      <c r="G24" s="21" t="s">
        <v>24</v>
      </c>
      <c r="H24" s="30" t="s">
        <v>25</v>
      </c>
      <c r="I24" s="30" t="s">
        <v>26</v>
      </c>
      <c r="J24" s="30" t="s">
        <v>27</v>
      </c>
    </row>
    <row r="25" spans="2:10" ht="15">
      <c r="B25" s="17">
        <v>3</v>
      </c>
      <c r="C25" s="18" t="s">
        <v>36</v>
      </c>
      <c r="D25" s="19">
        <v>3</v>
      </c>
      <c r="E25" s="20">
        <f t="shared" si="1"/>
      </c>
      <c r="F25" s="4" t="s">
        <v>18</v>
      </c>
      <c r="G25" s="21">
        <v>200</v>
      </c>
      <c r="H25" s="25" t="s">
        <v>43</v>
      </c>
      <c r="I25" s="30" t="s">
        <v>44</v>
      </c>
      <c r="J25" s="30" t="s">
        <v>45</v>
      </c>
    </row>
    <row r="26" spans="2:10" ht="15">
      <c r="B26" s="17">
        <v>4</v>
      </c>
      <c r="C26" s="18" t="s">
        <v>35</v>
      </c>
      <c r="D26" s="19">
        <v>3</v>
      </c>
      <c r="E26" s="20">
        <f t="shared" si="1"/>
      </c>
      <c r="F26" s="4" t="s">
        <v>30</v>
      </c>
      <c r="G26" s="21">
        <v>320</v>
      </c>
      <c r="H26" s="30" t="s">
        <v>46</v>
      </c>
      <c r="I26" s="30" t="s">
        <v>44</v>
      </c>
      <c r="J26" s="30" t="s">
        <v>45</v>
      </c>
    </row>
    <row r="27" spans="2:10" ht="15">
      <c r="B27" s="17">
        <v>5</v>
      </c>
      <c r="C27" s="18" t="s">
        <v>47</v>
      </c>
      <c r="D27" s="19">
        <v>2</v>
      </c>
      <c r="E27" s="20">
        <f t="shared" si="1"/>
      </c>
      <c r="F27" s="4" t="s">
        <v>32</v>
      </c>
      <c r="G27" s="21">
        <v>320</v>
      </c>
      <c r="H27" s="30" t="s">
        <v>46</v>
      </c>
      <c r="I27" s="30" t="s">
        <v>44</v>
      </c>
      <c r="J27" s="30" t="s">
        <v>45</v>
      </c>
    </row>
    <row r="28" spans="2:10" ht="15">
      <c r="B28" s="17">
        <v>6</v>
      </c>
      <c r="C28" s="18" t="s">
        <v>48</v>
      </c>
      <c r="D28" s="19">
        <v>3</v>
      </c>
      <c r="E28" s="20">
        <f t="shared" si="1"/>
      </c>
      <c r="F28" s="4" t="s">
        <v>34</v>
      </c>
      <c r="G28" s="21">
        <v>320</v>
      </c>
      <c r="H28" s="30" t="s">
        <v>46</v>
      </c>
      <c r="I28" s="30" t="s">
        <v>44</v>
      </c>
      <c r="J28" s="30" t="s">
        <v>45</v>
      </c>
    </row>
    <row r="29" spans="2:5" ht="15">
      <c r="B29" s="17">
        <v>7</v>
      </c>
      <c r="C29" s="18" t="s">
        <v>49</v>
      </c>
      <c r="D29" s="19">
        <v>4</v>
      </c>
      <c r="E29" s="20">
        <f t="shared" si="1"/>
      </c>
    </row>
    <row r="30" spans="2:5" ht="15">
      <c r="B30" s="17">
        <v>8</v>
      </c>
      <c r="C30" s="18" t="s">
        <v>50</v>
      </c>
      <c r="D30" s="19">
        <v>3</v>
      </c>
      <c r="E30" s="20">
        <f t="shared" si="1"/>
      </c>
    </row>
    <row r="31" spans="2:5" ht="15">
      <c r="B31" s="17">
        <v>9</v>
      </c>
      <c r="C31" s="18" t="s">
        <v>38</v>
      </c>
      <c r="D31" s="19">
        <v>3</v>
      </c>
      <c r="E31" s="20">
        <f t="shared" si="1"/>
      </c>
    </row>
    <row r="32" spans="2:5" ht="15">
      <c r="B32" s="17">
        <v>10</v>
      </c>
      <c r="C32" s="18" t="s">
        <v>51</v>
      </c>
      <c r="D32" s="19">
        <v>3</v>
      </c>
      <c r="E32" s="20">
        <f t="shared" si="1"/>
      </c>
    </row>
    <row r="33" spans="2:5" ht="15">
      <c r="B33" s="17">
        <v>11</v>
      </c>
      <c r="C33" s="18" t="s">
        <v>39</v>
      </c>
      <c r="D33" s="19">
        <v>2</v>
      </c>
      <c r="E33" s="20">
        <f t="shared" si="1"/>
      </c>
    </row>
    <row r="34" spans="2:4" ht="14.25">
      <c r="B34" s="26"/>
      <c r="C34" s="27"/>
      <c r="D34" s="19">
        <f>SUM(D23:D33)</f>
        <v>32</v>
      </c>
    </row>
    <row r="35" ht="14.25">
      <c r="D35" s="28"/>
    </row>
    <row r="36" spans="2:4" ht="15.75">
      <c r="B36" s="7" t="s">
        <v>32</v>
      </c>
      <c r="C36" s="8">
        <f>IF(SUM(B38:B47)&lt;&gt;55,"Viga järjestuses. Kontrolli üle!!!","")</f>
      </c>
      <c r="D36" s="28"/>
    </row>
    <row r="37" spans="2:4" ht="24">
      <c r="B37" s="12" t="s">
        <v>20</v>
      </c>
      <c r="C37" s="12" t="s">
        <v>21</v>
      </c>
      <c r="D37" s="13" t="s">
        <v>22</v>
      </c>
    </row>
    <row r="38" spans="2:5" ht="15">
      <c r="B38" s="17">
        <v>1</v>
      </c>
      <c r="C38" s="18" t="s">
        <v>52</v>
      </c>
      <c r="D38" s="19">
        <v>2</v>
      </c>
      <c r="E38" s="20">
        <f aca="true" t="shared" si="2" ref="E38:E47">IF(COUNTIF($B$38:$B$47,B38)&gt;1,"VIGA!!!","")</f>
      </c>
    </row>
    <row r="39" spans="2:5" ht="15">
      <c r="B39" s="17">
        <v>2</v>
      </c>
      <c r="C39" s="18" t="s">
        <v>42</v>
      </c>
      <c r="D39" s="19">
        <v>3</v>
      </c>
      <c r="E39" s="20">
        <f t="shared" si="2"/>
      </c>
    </row>
    <row r="40" spans="2:5" ht="15">
      <c r="B40" s="17">
        <v>3</v>
      </c>
      <c r="C40" s="18" t="s">
        <v>53</v>
      </c>
      <c r="D40" s="19">
        <v>3</v>
      </c>
      <c r="E40" s="20">
        <f t="shared" si="2"/>
      </c>
    </row>
    <row r="41" spans="2:5" ht="15">
      <c r="B41" s="17">
        <v>4</v>
      </c>
      <c r="C41" s="18" t="s">
        <v>54</v>
      </c>
      <c r="D41" s="19">
        <v>4</v>
      </c>
      <c r="E41" s="20">
        <f t="shared" si="2"/>
      </c>
    </row>
    <row r="42" spans="2:5" ht="15">
      <c r="B42" s="17">
        <v>5</v>
      </c>
      <c r="C42" s="18" t="s">
        <v>55</v>
      </c>
      <c r="D42" s="19">
        <v>4</v>
      </c>
      <c r="E42" s="20">
        <f t="shared" si="2"/>
      </c>
    </row>
    <row r="43" spans="2:5" ht="15">
      <c r="B43" s="17">
        <v>6</v>
      </c>
      <c r="C43" s="18" t="s">
        <v>56</v>
      </c>
      <c r="D43" s="19">
        <v>3</v>
      </c>
      <c r="E43" s="20">
        <f t="shared" si="2"/>
      </c>
    </row>
    <row r="44" spans="2:5" ht="15">
      <c r="B44" s="17">
        <v>7</v>
      </c>
      <c r="C44" s="18" t="s">
        <v>57</v>
      </c>
      <c r="D44" s="19">
        <v>4</v>
      </c>
      <c r="E44" s="20">
        <f t="shared" si="2"/>
      </c>
    </row>
    <row r="45" spans="2:5" ht="15">
      <c r="B45" s="17">
        <v>8</v>
      </c>
      <c r="C45" s="18" t="s">
        <v>50</v>
      </c>
      <c r="D45" s="19">
        <v>4</v>
      </c>
      <c r="E45" s="20">
        <f t="shared" si="2"/>
      </c>
    </row>
    <row r="46" spans="2:5" ht="15">
      <c r="B46" s="17">
        <v>9</v>
      </c>
      <c r="C46" s="18" t="s">
        <v>58</v>
      </c>
      <c r="D46" s="19">
        <v>3</v>
      </c>
      <c r="E46" s="20">
        <f t="shared" si="2"/>
      </c>
    </row>
    <row r="47" spans="2:5" ht="15">
      <c r="B47" s="17">
        <v>10</v>
      </c>
      <c r="C47" s="18" t="s">
        <v>39</v>
      </c>
      <c r="D47" s="19">
        <v>2</v>
      </c>
      <c r="E47" s="20">
        <f t="shared" si="2"/>
      </c>
    </row>
    <row r="48" spans="2:4" ht="14.25">
      <c r="B48" s="31"/>
      <c r="C48" s="27"/>
      <c r="D48" s="19">
        <f>SUM(D38:D47)</f>
        <v>32</v>
      </c>
    </row>
    <row r="49" ht="14.25">
      <c r="D49" s="28"/>
    </row>
    <row r="50" spans="2:4" ht="15.75">
      <c r="B50" s="7" t="s">
        <v>34</v>
      </c>
      <c r="C50" s="8">
        <f>IF(SUM(B52:B61)&lt;&gt;55,"Viga järjestuses. Kontrolli üle!!!","")</f>
      </c>
      <c r="D50" s="28"/>
    </row>
    <row r="51" spans="2:7" ht="24">
      <c r="B51" s="12" t="s">
        <v>20</v>
      </c>
      <c r="C51" s="12" t="s">
        <v>21</v>
      </c>
      <c r="D51" s="13" t="s">
        <v>22</v>
      </c>
      <c r="G51"/>
    </row>
    <row r="52" spans="2:5" ht="15">
      <c r="B52" s="17">
        <v>1</v>
      </c>
      <c r="C52" s="18" t="s">
        <v>59</v>
      </c>
      <c r="D52" s="19">
        <v>2</v>
      </c>
      <c r="E52" s="20">
        <f aca="true" t="shared" si="3" ref="E52:E61">IF(COUNTIF($B$52:$B$61,B52)&gt;1,"VIGA!!!","")</f>
      </c>
    </row>
    <row r="53" spans="2:5" ht="15">
      <c r="B53" s="17">
        <v>2</v>
      </c>
      <c r="C53" s="18" t="s">
        <v>60</v>
      </c>
      <c r="D53" s="19">
        <v>2</v>
      </c>
      <c r="E53" s="20">
        <f t="shared" si="3"/>
      </c>
    </row>
    <row r="54" spans="2:5" ht="15">
      <c r="B54" s="17">
        <v>3</v>
      </c>
      <c r="C54" s="18" t="s">
        <v>42</v>
      </c>
      <c r="D54" s="19">
        <v>3</v>
      </c>
      <c r="E54" s="20">
        <f t="shared" si="3"/>
      </c>
    </row>
    <row r="55" spans="2:10" ht="15">
      <c r="B55" s="17">
        <v>4</v>
      </c>
      <c r="C55" s="18" t="s">
        <v>61</v>
      </c>
      <c r="D55" s="19">
        <v>3</v>
      </c>
      <c r="E55" s="20">
        <f t="shared" si="3"/>
      </c>
      <c r="F55" s="11"/>
      <c r="G55" s="32"/>
      <c r="H55" s="11"/>
      <c r="I55" s="11"/>
      <c r="J55" s="11"/>
    </row>
    <row r="56" spans="2:10" ht="15">
      <c r="B56" s="17">
        <v>5</v>
      </c>
      <c r="C56" s="18" t="s">
        <v>62</v>
      </c>
      <c r="D56" s="19">
        <v>4</v>
      </c>
      <c r="E56" s="20">
        <f t="shared" si="3"/>
      </c>
      <c r="I56" s="11"/>
      <c r="J56" s="11"/>
    </row>
    <row r="57" spans="2:10" ht="15">
      <c r="B57" s="17">
        <v>6</v>
      </c>
      <c r="C57" s="18" t="s">
        <v>63</v>
      </c>
      <c r="D57" s="19">
        <v>4</v>
      </c>
      <c r="E57" s="20">
        <f t="shared" si="3"/>
      </c>
      <c r="F57" s="11"/>
      <c r="G57" s="32"/>
      <c r="H57" s="11"/>
      <c r="I57" s="11"/>
      <c r="J57" s="11"/>
    </row>
    <row r="58" spans="2:10" ht="15">
      <c r="B58" s="17">
        <v>7</v>
      </c>
      <c r="C58" s="18" t="s">
        <v>56</v>
      </c>
      <c r="D58" s="19">
        <v>3</v>
      </c>
      <c r="E58" s="20">
        <f t="shared" si="3"/>
      </c>
      <c r="F58" s="11"/>
      <c r="G58" s="32"/>
      <c r="H58" s="11"/>
      <c r="I58" s="11"/>
      <c r="J58" s="11"/>
    </row>
    <row r="59" spans="2:10" ht="15">
      <c r="B59" s="17">
        <v>8</v>
      </c>
      <c r="C59" s="18" t="s">
        <v>64</v>
      </c>
      <c r="D59" s="19">
        <v>4</v>
      </c>
      <c r="E59" s="20">
        <f t="shared" si="3"/>
      </c>
      <c r="F59" s="11"/>
      <c r="G59" s="32"/>
      <c r="H59" s="11"/>
      <c r="I59" s="11"/>
      <c r="J59" s="11"/>
    </row>
    <row r="60" spans="2:10" ht="15">
      <c r="B60" s="17">
        <v>9</v>
      </c>
      <c r="C60" s="18" t="s">
        <v>57</v>
      </c>
      <c r="D60" s="19">
        <v>3</v>
      </c>
      <c r="E60" s="20">
        <f t="shared" si="3"/>
      </c>
      <c r="F60" s="11"/>
      <c r="G60" s="32"/>
      <c r="H60" s="11"/>
      <c r="I60" s="11"/>
      <c r="J60" s="11"/>
    </row>
    <row r="61" spans="2:10" ht="15">
      <c r="B61" s="17">
        <v>10</v>
      </c>
      <c r="C61" s="18" t="s">
        <v>50</v>
      </c>
      <c r="D61" s="19">
        <v>4</v>
      </c>
      <c r="E61" s="20">
        <f t="shared" si="3"/>
      </c>
      <c r="F61" s="11"/>
      <c r="G61" s="32"/>
      <c r="H61" s="11"/>
      <c r="I61" s="11"/>
      <c r="J61" s="11"/>
    </row>
    <row r="62" spans="2:4" ht="14.25">
      <c r="B62" s="31"/>
      <c r="C62" s="33" t="s">
        <v>65</v>
      </c>
      <c r="D62" s="19">
        <f>SUM(D52:D61)</f>
        <v>32</v>
      </c>
    </row>
    <row r="63" spans="2:4" ht="14.25">
      <c r="B63" s="77" t="s">
        <v>66</v>
      </c>
      <c r="C63" s="77"/>
      <c r="D63" s="34">
        <v>-10</v>
      </c>
    </row>
  </sheetData>
  <sheetProtection selectLockedCells="1" selectUnlockedCells="1"/>
  <mergeCells count="1">
    <mergeCell ref="B63:C63"/>
  </mergeCells>
  <printOptions horizontalCentered="1"/>
  <pageMargins left="0.8194444444444444" right="0.5" top="0.65" bottom="0.4770833333333333" header="0.38472222222222224" footer="0.21180555555555555"/>
  <pageSetup fitToHeight="1" fitToWidth="1" horizontalDpi="300" verticalDpi="300" orientation="portrait" paperSize="9"/>
  <headerFooter alignWithMargins="0">
    <oddHeader>&amp;R&amp;"Times New Roman,Regular"&amp;12EKL-KKK</oddHeader>
    <oddFooter>&amp;C&amp;"Times New Roman,Regular"&amp;12&amp;A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showGridLines="0" zoomScale="88" zoomScaleNormal="88" zoomScalePageLayoutView="0" workbookViewId="0" topLeftCell="A1">
      <pane xSplit="4" topLeftCell="E1" activePane="topRight" state="frozen"/>
      <selection pane="topLeft" activeCell="A1" sqref="A1"/>
      <selection pane="topRight" activeCell="AP37" sqref="AP37"/>
    </sheetView>
  </sheetViews>
  <sheetFormatPr defaultColWidth="11.57421875" defaultRowHeight="12.75"/>
  <cols>
    <col min="1" max="1" width="4.28125" style="0" customWidth="1"/>
    <col min="2" max="2" width="8.140625" style="0" customWidth="1"/>
    <col min="3" max="3" width="18.7109375" style="2" customWidth="1"/>
    <col min="4" max="4" width="27.00390625" style="2" customWidth="1"/>
    <col min="5" max="5" width="16.00390625" style="2" customWidth="1"/>
    <col min="6" max="6" width="14.8515625" style="0" customWidth="1"/>
    <col min="7" max="7" width="19.57421875" style="35" customWidth="1"/>
    <col min="8" max="17" width="5.00390625" style="0" customWidth="1"/>
    <col min="18" max="18" width="5.28125" style="0" customWidth="1"/>
    <col min="19" max="29" width="0" style="0" hidden="1" customWidth="1"/>
    <col min="30" max="30" width="8.7109375" style="0" customWidth="1"/>
    <col min="31" max="31" width="8.28125" style="0" customWidth="1"/>
    <col min="32" max="32" width="8.421875" style="0" customWidth="1"/>
    <col min="33" max="34" width="7.421875" style="0" customWidth="1"/>
    <col min="35" max="35" width="8.421875" style="0" customWidth="1"/>
    <col min="36" max="36" width="6.7109375" style="0" customWidth="1"/>
    <col min="37" max="37" width="8.421875" style="0" customWidth="1"/>
    <col min="38" max="41" width="0" style="0" hidden="1" customWidth="1"/>
    <col min="42" max="42" width="6.57421875" style="0" customWidth="1"/>
  </cols>
  <sheetData>
    <row r="1" spans="1:45" ht="20.25">
      <c r="A1" t="s">
        <v>13</v>
      </c>
      <c r="C1" s="78">
        <f>'Võistluste järjestused'!C2</f>
        <v>0</v>
      </c>
      <c r="D1" s="78"/>
      <c r="E1" t="s">
        <v>14</v>
      </c>
      <c r="F1" s="79" t="s">
        <v>67</v>
      </c>
      <c r="G1" s="79"/>
      <c r="H1" t="s">
        <v>15</v>
      </c>
      <c r="I1" s="80">
        <f>'Võistluste järjestused'!C4</f>
        <v>0</v>
      </c>
      <c r="J1" s="80"/>
      <c r="K1" s="80"/>
      <c r="L1" s="80"/>
      <c r="M1" s="80"/>
      <c r="N1" s="80"/>
      <c r="O1" s="80"/>
      <c r="P1" s="80"/>
      <c r="Q1" s="80"/>
      <c r="R1" s="80"/>
      <c r="AD1" t="s">
        <v>16</v>
      </c>
      <c r="AE1" s="80">
        <f>'Võistluste järjestused'!C5</f>
        <v>0</v>
      </c>
      <c r="AF1" s="80"/>
      <c r="AG1" s="80"/>
      <c r="AH1" s="80"/>
      <c r="AI1" s="36" t="s">
        <v>17</v>
      </c>
      <c r="AJ1" s="81">
        <f>'Võistluste järjestused'!C6</f>
        <v>0</v>
      </c>
      <c r="AK1" s="81"/>
      <c r="AL1" s="36"/>
      <c r="AM1" s="36"/>
      <c r="AN1" s="36"/>
      <c r="AO1" s="36"/>
      <c r="AP1" s="36"/>
      <c r="AQ1" s="36"/>
      <c r="AR1" s="37"/>
      <c r="AS1" s="36"/>
    </row>
    <row r="2" spans="2:44" s="36" customFormat="1" ht="20.25">
      <c r="B2"/>
      <c r="C2" s="2"/>
      <c r="D2" s="2"/>
      <c r="E2" s="2"/>
      <c r="G2" s="35"/>
      <c r="AR2" s="37"/>
    </row>
    <row r="3" spans="1:44" s="36" customFormat="1" ht="12.75" customHeight="1">
      <c r="A3" s="82" t="s">
        <v>68</v>
      </c>
      <c r="B3" s="82" t="s">
        <v>23</v>
      </c>
      <c r="C3" s="83" t="s">
        <v>69</v>
      </c>
      <c r="D3" s="83" t="s">
        <v>70</v>
      </c>
      <c r="E3" s="83" t="s">
        <v>71</v>
      </c>
      <c r="F3" s="82" t="s">
        <v>72</v>
      </c>
      <c r="G3" s="84" t="s">
        <v>73</v>
      </c>
      <c r="H3" s="82" t="s">
        <v>74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 t="s">
        <v>75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3" t="s">
        <v>76</v>
      </c>
      <c r="AE3" s="83" t="s">
        <v>77</v>
      </c>
      <c r="AF3" s="83" t="s">
        <v>78</v>
      </c>
      <c r="AG3" s="83" t="s">
        <v>79</v>
      </c>
      <c r="AH3" s="82" t="s">
        <v>80</v>
      </c>
      <c r="AI3" s="83" t="s">
        <v>81</v>
      </c>
      <c r="AJ3" s="83" t="s">
        <v>82</v>
      </c>
      <c r="AK3" s="83" t="s">
        <v>83</v>
      </c>
      <c r="AL3" s="83" t="s">
        <v>84</v>
      </c>
      <c r="AM3" s="83" t="s">
        <v>85</v>
      </c>
      <c r="AN3" s="83" t="s">
        <v>86</v>
      </c>
      <c r="AO3" s="83" t="s">
        <v>87</v>
      </c>
      <c r="AP3" s="83" t="s">
        <v>15</v>
      </c>
      <c r="AR3" s="37"/>
    </row>
    <row r="4" spans="1:44" s="36" customFormat="1" ht="20.25">
      <c r="A4" s="82"/>
      <c r="B4" s="82"/>
      <c r="C4" s="83"/>
      <c r="D4" s="83"/>
      <c r="E4" s="83"/>
      <c r="F4" s="82"/>
      <c r="G4" s="84"/>
      <c r="H4" s="39">
        <v>1</v>
      </c>
      <c r="I4" s="39">
        <v>2</v>
      </c>
      <c r="J4" s="39">
        <v>3</v>
      </c>
      <c r="K4" s="39">
        <v>4</v>
      </c>
      <c r="L4" s="39">
        <v>5</v>
      </c>
      <c r="M4" s="39">
        <v>6</v>
      </c>
      <c r="N4" s="39">
        <v>7</v>
      </c>
      <c r="O4" s="39">
        <v>8</v>
      </c>
      <c r="P4" s="39">
        <v>9</v>
      </c>
      <c r="Q4" s="39">
        <v>10</v>
      </c>
      <c r="R4" s="39">
        <v>11</v>
      </c>
      <c r="S4" s="39">
        <v>1</v>
      </c>
      <c r="T4" s="39">
        <v>2</v>
      </c>
      <c r="U4" s="39">
        <v>3</v>
      </c>
      <c r="V4" s="39">
        <v>4</v>
      </c>
      <c r="W4" s="39">
        <v>5</v>
      </c>
      <c r="X4" s="39">
        <v>6</v>
      </c>
      <c r="Y4" s="39">
        <v>7</v>
      </c>
      <c r="Z4" s="39">
        <v>8</v>
      </c>
      <c r="AA4" s="39">
        <v>9</v>
      </c>
      <c r="AB4" s="39">
        <v>10</v>
      </c>
      <c r="AC4" s="39">
        <v>11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/>
      <c r="AR4" s="37"/>
    </row>
    <row r="5" spans="1:44" s="36" customFormat="1" ht="25.5">
      <c r="A5" s="39">
        <v>1</v>
      </c>
      <c r="B5" s="40"/>
      <c r="C5" s="41"/>
      <c r="D5" s="41"/>
      <c r="E5" s="41"/>
      <c r="F5" s="40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>
        <f>IF(ISNA(IF($B5="SK ALG",VLOOKUP(S$4,'Võistluste järjestused'!$B$11:$D$18,3,0),IF($B5="SK 1",VLOOKUP(S$4,'Võistluste järjestused'!$B$23:$D$33,3,0),IF($B5="SK 2",VLOOKUP(S$4,'Võistluste järjestused'!$B$38:$D$47,3,0),IF($B5="SK 3",VLOOKUP(S$4,'Võistluste järjestused'!$B$52:$D$61,3,0),""))))),"",IF($B5="SK ALG",VLOOKUP(S$4,'Võistluste järjestused'!$B$11:$D$18,3,0),IF($B5="SK 1",VLOOKUP(S$4,'Võistluste järjestused'!$B$23:$D$33,3,0),IF($B5="SK 2",VLOOKUP(S$4,'Võistluste järjestused'!$B$38:$D$47,3,0),IF($B5="SK 3",VLOOKUP(S$4,'Võistluste järjestused'!$B$52:$D$61,3,0),"")))))</f>
      </c>
      <c r="T5" s="44">
        <f>IF(ISNA(IF($B5="SK ALG",VLOOKUP(T$4,'Võistluste järjestused'!$B$11:$D$18,3,0),IF($B5="SK 1",VLOOKUP(T$4,'Võistluste järjestused'!$B$23:$D$33,3,0),IF($B5="SK 2",VLOOKUP(T$4,'Võistluste järjestused'!$B$38:$D$47,3,0),IF($B5="SK 3",VLOOKUP(T$4,'Võistluste järjestused'!$B$52:$D$61,3,0),""))))),"",IF($B5="SK ALG",VLOOKUP(T$4,'Võistluste järjestused'!$B$11:$D$18,3,0),IF($B5="SK 1",VLOOKUP(T$4,'Võistluste järjestused'!$B$23:$D$33,3,0),IF($B5="SK 2",VLOOKUP(T$4,'Võistluste järjestused'!$B$38:$D$47,3,0),IF($B5="SK 3",VLOOKUP(T$4,'Võistluste järjestused'!$B$52:$D$61,3,0),"")))))</f>
      </c>
      <c r="U5" s="44">
        <f>IF(ISNA(IF($B5="SK ALG",VLOOKUP(U$4,'Võistluste järjestused'!$B$11:$D$18,3,0),IF($B5="SK 1",VLOOKUP(U$4,'Võistluste järjestused'!$B$23:$D$33,3,0),IF($B5="SK 2",VLOOKUP(U$4,'Võistluste järjestused'!$B$38:$D$47,3,0),IF($B5="SK 3",VLOOKUP(U$4,'Võistluste järjestused'!$B$52:$D$61,3,0),""))))),"",IF($B5="SK ALG",VLOOKUP(U$4,'Võistluste järjestused'!$B$11:$D$18,3,0),IF($B5="SK 1",VLOOKUP(U$4,'Võistluste järjestused'!$B$23:$D$33,3,0),IF($B5="SK 2",VLOOKUP(U$4,'Võistluste järjestused'!$B$38:$D$47,3,0),IF($B5="SK 3",VLOOKUP(U$4,'Võistluste järjestused'!$B$52:$D$61,3,0),"")))))</f>
      </c>
      <c r="V5" s="44">
        <f>IF(ISNA(IF($B5="SK ALG",VLOOKUP(V$4,'Võistluste järjestused'!$B$11:$D$18,3,0),IF($B5="SK 1",VLOOKUP(V$4,'Võistluste järjestused'!$B$23:$D$33,3,0),IF($B5="SK 2",VLOOKUP(V$4,'Võistluste järjestused'!$B$38:$D$47,3,0),IF($B5="SK 3",VLOOKUP(V$4,'Võistluste järjestused'!$B$52:$D$61,3,0),""))))),"",IF($B5="SK ALG",VLOOKUP(V$4,'Võistluste järjestused'!$B$11:$D$18,3,0),IF($B5="SK 1",VLOOKUP(V$4,'Võistluste järjestused'!$B$23:$D$33,3,0),IF($B5="SK 2",VLOOKUP(V$4,'Võistluste järjestused'!$B$38:$D$47,3,0),IF($B5="SK 3",VLOOKUP(V$4,'Võistluste järjestused'!$B$52:$D$61,3,0),"")))))</f>
      </c>
      <c r="W5" s="44">
        <f>IF(ISNA(IF($B5="SK ALG",VLOOKUP(W$4,'Võistluste järjestused'!$B$11:$D$18,3,0),IF($B5="SK 1",VLOOKUP(W$4,'Võistluste järjestused'!$B$23:$D$33,3,0),IF($B5="SK 2",VLOOKUP(W$4,'Võistluste järjestused'!$B$38:$D$47,3,0),IF($B5="SK 3",VLOOKUP(W$4,'Võistluste järjestused'!$B$52:$D$61,3,0),""))))),"",IF($B5="SK ALG",VLOOKUP(W$4,'Võistluste järjestused'!$B$11:$D$18,3,0),IF($B5="SK 1",VLOOKUP(W$4,'Võistluste järjestused'!$B$23:$D$33,3,0),IF($B5="SK 2",VLOOKUP(W$4,'Võistluste järjestused'!$B$38:$D$47,3,0),IF($B5="SK 3",VLOOKUP(W$4,'Võistluste järjestused'!$B$52:$D$61,3,0),"")))))</f>
      </c>
      <c r="X5" s="44">
        <f>IF(ISNA(IF($B5="SK ALG",VLOOKUP(X$4,'Võistluste järjestused'!$B$11:$D$18,3,0),IF($B5="SK 1",VLOOKUP(X$4,'Võistluste järjestused'!$B$23:$D$33,3,0),IF($B5="SK 2",VLOOKUP(X$4,'Võistluste järjestused'!$B$38:$D$47,3,0),IF($B5="SK 3",VLOOKUP(X$4,'Võistluste järjestused'!$B$52:$D$61,3,0),""))))),"",IF($B5="SK ALG",VLOOKUP(X$4,'Võistluste järjestused'!$B$11:$D$18,3,0),IF($B5="SK 1",VLOOKUP(X$4,'Võistluste järjestused'!$B$23:$D$33,3,0),IF($B5="SK 2",VLOOKUP(X$4,'Võistluste järjestused'!$B$38:$D$47,3,0),IF($B5="SK 3",VLOOKUP(X$4,'Võistluste järjestused'!$B$52:$D$61,3,0),"")))))</f>
      </c>
      <c r="Y5" s="44">
        <f>IF(ISNA(IF($B5="SK ALG",VLOOKUP(Y$4,'Võistluste järjestused'!$B$11:$D$18,3,0),IF($B5="SK 1",VLOOKUP(Y$4,'Võistluste järjestused'!$B$23:$D$33,3,0),IF($B5="SK 2",VLOOKUP(Y$4,'Võistluste järjestused'!$B$38:$D$47,3,0),IF($B5="SK 3",VLOOKUP(Y$4,'Võistluste järjestused'!$B$52:$D$61,3,0),""))))),"",IF($B5="SK ALG",VLOOKUP(Y$4,'Võistluste järjestused'!$B$11:$D$18,3,0),IF($B5="SK 1",VLOOKUP(Y$4,'Võistluste järjestused'!$B$23:$D$33,3,0),IF($B5="SK 2",VLOOKUP(Y$4,'Võistluste järjestused'!$B$38:$D$47,3,0),IF($B5="SK 3",VLOOKUP(Y$4,'Võistluste järjestused'!$B$52:$D$61,3,0),"")))))</f>
      </c>
      <c r="Z5" s="44">
        <f>IF(ISNA(IF($B5="SK ALG",VLOOKUP(Z$4,'Võistluste järjestused'!$B$11:$D$18,3,0),IF($B5="SK 1",VLOOKUP(Z$4,'Võistluste järjestused'!$B$23:$D$33,3,0),IF($B5="SK 2",VLOOKUP(Z$4,'Võistluste järjestused'!$B$38:$D$47,3,0),IF($B5="SK 3",VLOOKUP(Z$4,'Võistluste järjestused'!$B$52:$D$61,3,0),""))))),"",IF($B5="SK ALG",VLOOKUP(Z$4,'Võistluste järjestused'!$B$11:$D$18,3,0),IF($B5="SK 1",VLOOKUP(Z$4,'Võistluste järjestused'!$B$23:$D$33,3,0),IF($B5="SK 2",VLOOKUP(Z$4,'Võistluste järjestused'!$B$38:$D$47,3,0),IF($B5="SK 3",VLOOKUP(Z$4,'Võistluste järjestused'!$B$52:$D$61,3,0),"")))))</f>
      </c>
      <c r="AA5" s="44">
        <f>IF(ISNA(IF($B5="SK ALG",VLOOKUP(AA$4,'Võistluste järjestused'!$B$11:$D$18,3,0),IF($B5="SK 1",VLOOKUP(AA$4,'Võistluste järjestused'!$B$23:$D$33,3,0),IF($B5="SK 2",VLOOKUP(AA$4,'Võistluste järjestused'!$B$38:$D$47,3,0),IF($B5="SK 3",VLOOKUP(AA$4,'Võistluste järjestused'!$B$52:$D$61,3,0),""))))),"",IF($B5="SK ALG",VLOOKUP(AA$4,'Võistluste järjestused'!$B$11:$D$18,3,0),IF($B5="SK 1",VLOOKUP(AA$4,'Võistluste järjestused'!$B$23:$D$33,3,0),IF($B5="SK 2",VLOOKUP(AA$4,'Võistluste järjestused'!$B$38:$D$47,3,0),IF($B5="SK 3",VLOOKUP(AA$4,'Võistluste järjestused'!$B$52:$D$61,3,0),"")))))</f>
      </c>
      <c r="AB5" s="44">
        <f>IF(ISNA(IF($B5="SK ALG",VLOOKUP(AB$4,'Võistluste järjestused'!$B$11:$D$18,3,0),IF($B5="SK 1",VLOOKUP(AB$4,'Võistluste järjestused'!$B$23:$D$33,3,0),IF($B5="SK 2",VLOOKUP(AB$4,'Võistluste järjestused'!$B$38:$D$47,3,0),IF($B5="SK 3",VLOOKUP(AB$4,'Võistluste järjestused'!$B$52:$D$61,3,0),""))))),"",IF($B5="SK ALG",VLOOKUP(AB$4,'Võistluste järjestused'!$B$11:$D$18,3,0),IF($B5="SK 1",VLOOKUP(AB$4,'Võistluste järjestused'!$B$23:$D$33,3,0),IF($B5="SK 2",VLOOKUP(AB$4,'Võistluste järjestused'!$B$38:$D$47,3,0),IF($B5="SK 3",VLOOKUP(AB$4,'Võistluste järjestused'!$B$52:$D$61,3,0),"")))))</f>
      </c>
      <c r="AC5" s="44">
        <f>IF(ISNA(IF($B5="SK ALG",VLOOKUP(AC$4,'Võistluste järjestused'!$B$11:$D$18,3,0),IF($B5="SK 1",VLOOKUP(AC$4,'Võistluste järjestused'!$B$23:$D$33,3,0),IF($B5="SK 2",VLOOKUP(AC$4,'Võistluste järjestused'!$B$38:$D$47,3,0),IF($B5="SK 3",VLOOKUP(AC$4,'Võistluste järjestused'!$B$52:$D$61,3,0),""))))),"",IF($B5="SK ALG",VLOOKUP(AC$4,'Võistluste järjestused'!$B$11:$D$18,3,0),IF($B5="SK 1",VLOOKUP(AC$4,'Võistluste järjestused'!$B$23:$D$33,3,0),IF($B5="SK 2",VLOOKUP(AC$4,'Võistluste järjestused'!$B$38:$D$47,3,0),IF($B5="SK 3",VLOOKUP(AC$4,'Võistluste järjestused'!$B$52:$D$61,3,0),"")))))</f>
      </c>
      <c r="AD5" s="45"/>
      <c r="AE5" s="45"/>
      <c r="AF5" s="45"/>
      <c r="AG5" s="45"/>
      <c r="AH5" s="30">
        <f>IF(B5="SK 3",IF(OR(AE5&gt;1,AG5&lt;&gt;"",AF5&lt;&gt;""),"DSQ",""),"")</f>
      </c>
      <c r="AI5" s="46">
        <f>IF(B5="","",IF(OR(AD5&lt;&gt;"",AH5="DSQ"),0,H5*S5+I5*T5+J5*U5+K5*V5+L5*W5+M5*X5+N5*Y5+O5*Z5+P5*AA5+Q5*AB5+R5*AC5+AE5*'Võistluste järjestused'!D63))</f>
      </c>
      <c r="AJ5" s="30">
        <f>IF(B5="","",IF(AI5&gt;=VLOOKUP(B5,'Võistluste järjestused'!$F$18:$J$21,3,0),"I järk",IF(AI5&gt;=VLOOKUP(B5,'Võistluste järjestused'!$F$18:$J$21,4,0),"II järk",IF(AI5&gt;=VLOOKUP(B5,'Võistluste järjestused'!$F$18:$J$21,5,0),"III järk",0))))</f>
      </c>
      <c r="AK5" s="30">
        <f aca="true" t="shared" si="0" ref="AK5:AK34">IF(B5="","",IF(AJ5=0,0,B5))</f>
      </c>
      <c r="AL5" s="30">
        <f aca="true" t="shared" si="1" ref="AL5:AL34">IF(B5="SK ALG",AI5,"")</f>
      </c>
      <c r="AM5" s="30">
        <f aca="true" t="shared" si="2" ref="AM5:AM34">IF(B5="SK 1",AI5,"")</f>
      </c>
      <c r="AN5" s="30">
        <f aca="true" t="shared" si="3" ref="AN5:AN34">IF(B5="SK 2",AI5,"")</f>
      </c>
      <c r="AO5" s="30">
        <f aca="true" t="shared" si="4" ref="AO5:AO34">IF(B5="SK 3",AI5,"")</f>
      </c>
      <c r="AP5" s="47">
        <f aca="true" t="shared" si="5" ref="AP5:AP34">IF(B5="","",IF(AI5=0,"",RANK(IF(B5="SK ALG",AL5,IF(B5="SK 1",AM5,IF(B5="SK 2",AN5,IF(B5="SK 3",AO5,"")))),IF(B5="SK ALG",$AL$5:$AL$34,IF(B5="SK 1",$AM$5:$AM$34,IF(B5="SK 2",$AN$5:$AN$34,IF(B5="SK 3",$AO$5:$AO$34,"")))),0)))</f>
      </c>
      <c r="AQ5"/>
      <c r="AR5" s="37"/>
    </row>
    <row r="6" spans="1:44" s="36" customFormat="1" ht="25.5">
      <c r="A6" s="30">
        <v>2</v>
      </c>
      <c r="B6" s="40"/>
      <c r="C6" s="41"/>
      <c r="D6" s="41"/>
      <c r="E6" s="41"/>
      <c r="F6" s="40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>
        <f>IF(ISNA(IF($B6="SK ALG",VLOOKUP(S$4,'Võistluste järjestused'!$B$11:$D$18,3,0),IF($B6="SK 1",VLOOKUP(S$4,'Võistluste järjestused'!$B$23:$D$33,3,0),IF($B6="SK 2",VLOOKUP(S$4,'Võistluste järjestused'!$B$38:$D$47,3,0),IF($B6="SK 3",VLOOKUP(S$4,'Võistluste järjestused'!$B$52:$D$61,3,0),""))))),"",IF($B6="SK ALG",VLOOKUP(S$4,'Võistluste järjestused'!$B$11:$D$18,3,0),IF($B6="SK 1",VLOOKUP(S$4,'Võistluste järjestused'!$B$23:$D$33,3,0),IF($B6="SK 2",VLOOKUP(S$4,'Võistluste järjestused'!$B$38:$D$47,3,0),IF($B6="SK 3",VLOOKUP(S$4,'Võistluste järjestused'!$B$52:$D$61,3,0),"")))))</f>
      </c>
      <c r="T6" s="44">
        <f>IF(ISNA(IF($B6="SK ALG",VLOOKUP(T$4,'Võistluste järjestused'!$B$11:$D$18,3,0),IF($B6="SK 1",VLOOKUP(T$4,'Võistluste järjestused'!$B$23:$D$33,3,0),IF($B6="SK 2",VLOOKUP(T$4,'Võistluste järjestused'!$B$38:$D$47,3,0),IF($B6="SK 3",VLOOKUP(T$4,'Võistluste järjestused'!$B$52:$D$61,3,0),""))))),"",IF($B6="SK ALG",VLOOKUP(T$4,'Võistluste järjestused'!$B$11:$D$18,3,0),IF($B6="SK 1",VLOOKUP(T$4,'Võistluste järjestused'!$B$23:$D$33,3,0),IF($B6="SK 2",VLOOKUP(T$4,'Võistluste järjestused'!$B$38:$D$47,3,0),IF($B6="SK 3",VLOOKUP(T$4,'Võistluste järjestused'!$B$52:$D$61,3,0),"")))))</f>
      </c>
      <c r="U6" s="44">
        <f>IF(ISNA(IF($B6="SK ALG",VLOOKUP(U$4,'Võistluste järjestused'!$B$11:$D$18,3,0),IF($B6="SK 1",VLOOKUP(U$4,'Võistluste järjestused'!$B$23:$D$33,3,0),IF($B6="SK 2",VLOOKUP(U$4,'Võistluste järjestused'!$B$38:$D$47,3,0),IF($B6="SK 3",VLOOKUP(U$4,'Võistluste järjestused'!$B$52:$D$61,3,0),""))))),"",IF($B6="SK ALG",VLOOKUP(U$4,'Võistluste järjestused'!$B$11:$D$18,3,0),IF($B6="SK 1",VLOOKUP(U$4,'Võistluste järjestused'!$B$23:$D$33,3,0),IF($B6="SK 2",VLOOKUP(U$4,'Võistluste järjestused'!$B$38:$D$47,3,0),IF($B6="SK 3",VLOOKUP(U$4,'Võistluste järjestused'!$B$52:$D$61,3,0),"")))))</f>
      </c>
      <c r="V6" s="44">
        <f>IF(ISNA(IF($B6="SK ALG",VLOOKUP(V$4,'Võistluste järjestused'!$B$11:$D$18,3,0),IF($B6="SK 1",VLOOKUP(V$4,'Võistluste järjestused'!$B$23:$D$33,3,0),IF($B6="SK 2",VLOOKUP(V$4,'Võistluste järjestused'!$B$38:$D$47,3,0),IF($B6="SK 3",VLOOKUP(V$4,'Võistluste järjestused'!$B$52:$D$61,3,0),""))))),"",IF($B6="SK ALG",VLOOKUP(V$4,'Võistluste järjestused'!$B$11:$D$18,3,0),IF($B6="SK 1",VLOOKUP(V$4,'Võistluste järjestused'!$B$23:$D$33,3,0),IF($B6="SK 2",VLOOKUP(V$4,'Võistluste järjestused'!$B$38:$D$47,3,0),IF($B6="SK 3",VLOOKUP(V$4,'Võistluste järjestused'!$B$52:$D$61,3,0),"")))))</f>
      </c>
      <c r="W6" s="44">
        <f>IF(ISNA(IF($B6="SK ALG",VLOOKUP(W$4,'Võistluste järjestused'!$B$11:$D$18,3,0),IF($B6="SK 1",VLOOKUP(W$4,'Võistluste järjestused'!$B$23:$D$33,3,0),IF($B6="SK 2",VLOOKUP(W$4,'Võistluste järjestused'!$B$38:$D$47,3,0),IF($B6="SK 3",VLOOKUP(W$4,'Võistluste järjestused'!$B$52:$D$61,3,0),""))))),"",IF($B6="SK ALG",VLOOKUP(W$4,'Võistluste järjestused'!$B$11:$D$18,3,0),IF($B6="SK 1",VLOOKUP(W$4,'Võistluste järjestused'!$B$23:$D$33,3,0),IF($B6="SK 2",VLOOKUP(W$4,'Võistluste järjestused'!$B$38:$D$47,3,0),IF($B6="SK 3",VLOOKUP(W$4,'Võistluste järjestused'!$B$52:$D$61,3,0),"")))))</f>
      </c>
      <c r="X6" s="44">
        <f>IF(ISNA(IF($B6="SK ALG",VLOOKUP(X$4,'Võistluste järjestused'!$B$11:$D$18,3,0),IF($B6="SK 1",VLOOKUP(X$4,'Võistluste järjestused'!$B$23:$D$33,3,0),IF($B6="SK 2",VLOOKUP(X$4,'Võistluste järjestused'!$B$38:$D$47,3,0),IF($B6="SK 3",VLOOKUP(X$4,'Võistluste järjestused'!$B$52:$D$61,3,0),""))))),"",IF($B6="SK ALG",VLOOKUP(X$4,'Võistluste järjestused'!$B$11:$D$18,3,0),IF($B6="SK 1",VLOOKUP(X$4,'Võistluste järjestused'!$B$23:$D$33,3,0),IF($B6="SK 2",VLOOKUP(X$4,'Võistluste järjestused'!$B$38:$D$47,3,0),IF($B6="SK 3",VLOOKUP(X$4,'Võistluste järjestused'!$B$52:$D$61,3,0),"")))))</f>
      </c>
      <c r="Y6" s="44">
        <f>IF(ISNA(IF($B6="SK ALG",VLOOKUP(Y$4,'Võistluste järjestused'!$B$11:$D$18,3,0),IF($B6="SK 1",VLOOKUP(Y$4,'Võistluste järjestused'!$B$23:$D$33,3,0),IF($B6="SK 2",VLOOKUP(Y$4,'Võistluste järjestused'!$B$38:$D$47,3,0),IF($B6="SK 3",VLOOKUP(Y$4,'Võistluste järjestused'!$B$52:$D$61,3,0),""))))),"",IF($B6="SK ALG",VLOOKUP(Y$4,'Võistluste järjestused'!$B$11:$D$18,3,0),IF($B6="SK 1",VLOOKUP(Y$4,'Võistluste järjestused'!$B$23:$D$33,3,0),IF($B6="SK 2",VLOOKUP(Y$4,'Võistluste järjestused'!$B$38:$D$47,3,0),IF($B6="SK 3",VLOOKUP(Y$4,'Võistluste järjestused'!$B$52:$D$61,3,0),"")))))</f>
      </c>
      <c r="Z6" s="44">
        <f>IF(ISNA(IF($B6="SK ALG",VLOOKUP(Z$4,'Võistluste järjestused'!$B$11:$D$18,3,0),IF($B6="SK 1",VLOOKUP(Z$4,'Võistluste järjestused'!$B$23:$D$33,3,0),IF($B6="SK 2",VLOOKUP(Z$4,'Võistluste järjestused'!$B$38:$D$47,3,0),IF($B6="SK 3",VLOOKUP(Z$4,'Võistluste järjestused'!$B$52:$D$61,3,0),""))))),"",IF($B6="SK ALG",VLOOKUP(Z$4,'Võistluste järjestused'!$B$11:$D$18,3,0),IF($B6="SK 1",VLOOKUP(Z$4,'Võistluste järjestused'!$B$23:$D$33,3,0),IF($B6="SK 2",VLOOKUP(Z$4,'Võistluste järjestused'!$B$38:$D$47,3,0),IF($B6="SK 3",VLOOKUP(Z$4,'Võistluste järjestused'!$B$52:$D$61,3,0),"")))))</f>
      </c>
      <c r="AA6" s="44">
        <f>IF(ISNA(IF($B6="SK ALG",VLOOKUP(AA$4,'Võistluste järjestused'!$B$11:$D$18,3,0),IF($B6="SK 1",VLOOKUP(AA$4,'Võistluste järjestused'!$B$23:$D$33,3,0),IF($B6="SK 2",VLOOKUP(AA$4,'Võistluste järjestused'!$B$38:$D$47,3,0),IF($B6="SK 3",VLOOKUP(AA$4,'Võistluste järjestused'!$B$52:$D$61,3,0),""))))),"",IF($B6="SK ALG",VLOOKUP(AA$4,'Võistluste järjestused'!$B$11:$D$18,3,0),IF($B6="SK 1",VLOOKUP(AA$4,'Võistluste järjestused'!$B$23:$D$33,3,0),IF($B6="SK 2",VLOOKUP(AA$4,'Võistluste järjestused'!$B$38:$D$47,3,0),IF($B6="SK 3",VLOOKUP(AA$4,'Võistluste järjestused'!$B$52:$D$61,3,0),"")))))</f>
      </c>
      <c r="AB6" s="44">
        <f>IF(ISNA(IF($B6="SK ALG",VLOOKUP(AB$4,'Võistluste järjestused'!$B$11:$D$18,3,0),IF($B6="SK 1",VLOOKUP(AB$4,'Võistluste järjestused'!$B$23:$D$33,3,0),IF($B6="SK 2",VLOOKUP(AB$4,'Võistluste järjestused'!$B$38:$D$47,3,0),IF($B6="SK 3",VLOOKUP(AB$4,'Võistluste järjestused'!$B$52:$D$61,3,0),""))))),"",IF($B6="SK ALG",VLOOKUP(AB$4,'Võistluste järjestused'!$B$11:$D$18,3,0),IF($B6="SK 1",VLOOKUP(AB$4,'Võistluste järjestused'!$B$23:$D$33,3,0),IF($B6="SK 2",VLOOKUP(AB$4,'Võistluste järjestused'!$B$38:$D$47,3,0),IF($B6="SK 3",VLOOKUP(AB$4,'Võistluste järjestused'!$B$52:$D$61,3,0),"")))))</f>
      </c>
      <c r="AC6" s="44">
        <f>IF(ISNA(IF($B6="SK ALG",VLOOKUP(AC$4,'Võistluste järjestused'!$B$11:$D$18,3,0),IF($B6="SK 1",VLOOKUP(AC$4,'Võistluste järjestused'!$B$23:$D$33,3,0),IF($B6="SK 2",VLOOKUP(AC$4,'Võistluste järjestused'!$B$38:$D$47,3,0),IF($B6="SK 3",VLOOKUP(AC$4,'Võistluste järjestused'!$B$52:$D$61,3,0),""))))),"",IF($B6="SK ALG",VLOOKUP(AC$4,'Võistluste järjestused'!$B$11:$D$18,3,0),IF($B6="SK 1",VLOOKUP(AC$4,'Võistluste järjestused'!$B$23:$D$33,3,0),IF($B6="SK 2",VLOOKUP(AC$4,'Võistluste järjestused'!$B$38:$D$47,3,0),IF($B6="SK 3",VLOOKUP(AC$4,'Võistluste järjestused'!$B$52:$D$61,3,0),"")))))</f>
      </c>
      <c r="AD6" s="45"/>
      <c r="AE6" s="45"/>
      <c r="AF6" s="45"/>
      <c r="AG6" s="45"/>
      <c r="AH6" s="30">
        <f aca="true" t="shared" si="6" ref="AH6:AH34">IF(OR(AE6&gt;1,AG6&lt;&gt;"",AF6&lt;&gt;""),"DSQ","")</f>
      </c>
      <c r="AI6" s="46">
        <f>IF(B6="","",IF(AH6="DSQ",0,H6*S6+I6*T6+J6*U6+K6*V6+L6*W6+M6*X6+N6*Y6+O6*Z6+P6*AA6+Q6*AB6+R6*AC6+AE6*'Võistluste järjestused'!D64))</f>
      </c>
      <c r="AJ6" s="30">
        <f>IF(B6="","",IF(AI6&gt;=VLOOKUP(B6,'Võistluste järjestused'!$F$18:$J$21,3,0),"I järk",IF(AI6&gt;=VLOOKUP(B6,'Võistluste järjestused'!$F$18:$J$21,4,0),"II järk",IF(AI6&gt;=VLOOKUP(B6,'Võistluste järjestused'!$F$18:$J$21,5,0),"III järk",0))))</f>
      </c>
      <c r="AK6" s="30">
        <f t="shared" si="0"/>
      </c>
      <c r="AL6" s="30">
        <f t="shared" si="1"/>
      </c>
      <c r="AM6" s="30">
        <f t="shared" si="2"/>
      </c>
      <c r="AN6" s="30">
        <f t="shared" si="3"/>
      </c>
      <c r="AO6" s="30">
        <f t="shared" si="4"/>
      </c>
      <c r="AP6" s="47">
        <f t="shared" si="5"/>
      </c>
      <c r="AQ6"/>
      <c r="AR6" s="37"/>
    </row>
    <row r="7" spans="1:44" s="36" customFormat="1" ht="25.5">
      <c r="A7" s="30">
        <v>3</v>
      </c>
      <c r="B7" s="40"/>
      <c r="C7" s="41"/>
      <c r="D7" s="41"/>
      <c r="E7" s="41"/>
      <c r="F7" s="40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>
        <f>IF(ISNA(IF($B7="SK ALG",VLOOKUP(S$4,'Võistluste järjestused'!$B$11:$D$18,3,0),IF($B7="SK 1",VLOOKUP(S$4,'Võistluste järjestused'!$B$23:$D$33,3,0),IF($B7="SK 2",VLOOKUP(S$4,'Võistluste järjestused'!$B$38:$D$47,3,0),IF($B7="SK 3",VLOOKUP(S$4,'Võistluste järjestused'!$B$52:$D$61,3,0),""))))),"",IF($B7="SK ALG",VLOOKUP(S$4,'Võistluste järjestused'!$B$11:$D$18,3,0),IF($B7="SK 1",VLOOKUP(S$4,'Võistluste järjestused'!$B$23:$D$33,3,0),IF($B7="SK 2",VLOOKUP(S$4,'Võistluste järjestused'!$B$38:$D$47,3,0),IF($B7="SK 3",VLOOKUP(S$4,'Võistluste järjestused'!$B$52:$D$61,3,0),"")))))</f>
      </c>
      <c r="T7" s="44">
        <f>IF(ISNA(IF($B7="SK ALG",VLOOKUP(T$4,'Võistluste järjestused'!$B$11:$D$18,3,0),IF($B7="SK 1",VLOOKUP(T$4,'Võistluste järjestused'!$B$23:$D$33,3,0),IF($B7="SK 2",VLOOKUP(T$4,'Võistluste järjestused'!$B$38:$D$47,3,0),IF($B7="SK 3",VLOOKUP(T$4,'Võistluste järjestused'!$B$52:$D$61,3,0),""))))),"",IF($B7="SK ALG",VLOOKUP(T$4,'Võistluste järjestused'!$B$11:$D$18,3,0),IF($B7="SK 1",VLOOKUP(T$4,'Võistluste järjestused'!$B$23:$D$33,3,0),IF($B7="SK 2",VLOOKUP(T$4,'Võistluste järjestused'!$B$38:$D$47,3,0),IF($B7="SK 3",VLOOKUP(T$4,'Võistluste järjestused'!$B$52:$D$61,3,0),"")))))</f>
      </c>
      <c r="U7" s="44">
        <f>IF(ISNA(IF($B7="SK ALG",VLOOKUP(U$4,'Võistluste järjestused'!$B$11:$D$18,3,0),IF($B7="SK 1",VLOOKUP(U$4,'Võistluste järjestused'!$B$23:$D$33,3,0),IF($B7="SK 2",VLOOKUP(U$4,'Võistluste järjestused'!$B$38:$D$47,3,0),IF($B7="SK 3",VLOOKUP(U$4,'Võistluste järjestused'!$B$52:$D$61,3,0),""))))),"",IF($B7="SK ALG",VLOOKUP(U$4,'Võistluste järjestused'!$B$11:$D$18,3,0),IF($B7="SK 1",VLOOKUP(U$4,'Võistluste järjestused'!$B$23:$D$33,3,0),IF($B7="SK 2",VLOOKUP(U$4,'Võistluste järjestused'!$B$38:$D$47,3,0),IF($B7="SK 3",VLOOKUP(U$4,'Võistluste järjestused'!$B$52:$D$61,3,0),"")))))</f>
      </c>
      <c r="V7" s="44">
        <f>IF(ISNA(IF($B7="SK ALG",VLOOKUP(V$4,'Võistluste järjestused'!$B$11:$D$18,3,0),IF($B7="SK 1",VLOOKUP(V$4,'Võistluste järjestused'!$B$23:$D$33,3,0),IF($B7="SK 2",VLOOKUP(V$4,'Võistluste järjestused'!$B$38:$D$47,3,0),IF($B7="SK 3",VLOOKUP(V$4,'Võistluste järjestused'!$B$52:$D$61,3,0),""))))),"",IF($B7="SK ALG",VLOOKUP(V$4,'Võistluste järjestused'!$B$11:$D$18,3,0),IF($B7="SK 1",VLOOKUP(V$4,'Võistluste järjestused'!$B$23:$D$33,3,0),IF($B7="SK 2",VLOOKUP(V$4,'Võistluste järjestused'!$B$38:$D$47,3,0),IF($B7="SK 3",VLOOKUP(V$4,'Võistluste järjestused'!$B$52:$D$61,3,0),"")))))</f>
      </c>
      <c r="W7" s="44">
        <f>IF(ISNA(IF($B7="SK ALG",VLOOKUP(W$4,'Võistluste järjestused'!$B$11:$D$18,3,0),IF($B7="SK 1",VLOOKUP(W$4,'Võistluste järjestused'!$B$23:$D$33,3,0),IF($B7="SK 2",VLOOKUP(W$4,'Võistluste järjestused'!$B$38:$D$47,3,0),IF($B7="SK 3",VLOOKUP(W$4,'Võistluste järjestused'!$B$52:$D$61,3,0),""))))),"",IF($B7="SK ALG",VLOOKUP(W$4,'Võistluste järjestused'!$B$11:$D$18,3,0),IF($B7="SK 1",VLOOKUP(W$4,'Võistluste järjestused'!$B$23:$D$33,3,0),IF($B7="SK 2",VLOOKUP(W$4,'Võistluste järjestused'!$B$38:$D$47,3,0),IF($B7="SK 3",VLOOKUP(W$4,'Võistluste järjestused'!$B$52:$D$61,3,0),"")))))</f>
      </c>
      <c r="X7" s="44">
        <f>IF(ISNA(IF($B7="SK ALG",VLOOKUP(X$4,'Võistluste järjestused'!$B$11:$D$18,3,0),IF($B7="SK 1",VLOOKUP(X$4,'Võistluste järjestused'!$B$23:$D$33,3,0),IF($B7="SK 2",VLOOKUP(X$4,'Võistluste järjestused'!$B$38:$D$47,3,0),IF($B7="SK 3",VLOOKUP(X$4,'Võistluste järjestused'!$B$52:$D$61,3,0),""))))),"",IF($B7="SK ALG",VLOOKUP(X$4,'Võistluste järjestused'!$B$11:$D$18,3,0),IF($B7="SK 1",VLOOKUP(X$4,'Võistluste järjestused'!$B$23:$D$33,3,0),IF($B7="SK 2",VLOOKUP(X$4,'Võistluste järjestused'!$B$38:$D$47,3,0),IF($B7="SK 3",VLOOKUP(X$4,'Võistluste järjestused'!$B$52:$D$61,3,0),"")))))</f>
      </c>
      <c r="Y7" s="44">
        <f>IF(ISNA(IF($B7="SK ALG",VLOOKUP(Y$4,'Võistluste järjestused'!$B$11:$D$18,3,0),IF($B7="SK 1",VLOOKUP(Y$4,'Võistluste järjestused'!$B$23:$D$33,3,0),IF($B7="SK 2",VLOOKUP(Y$4,'Võistluste järjestused'!$B$38:$D$47,3,0),IF($B7="SK 3",VLOOKUP(Y$4,'Võistluste järjestused'!$B$52:$D$61,3,0),""))))),"",IF($B7="SK ALG",VLOOKUP(Y$4,'Võistluste järjestused'!$B$11:$D$18,3,0),IF($B7="SK 1",VLOOKUP(Y$4,'Võistluste järjestused'!$B$23:$D$33,3,0),IF($B7="SK 2",VLOOKUP(Y$4,'Võistluste järjestused'!$B$38:$D$47,3,0),IF($B7="SK 3",VLOOKUP(Y$4,'Võistluste järjestused'!$B$52:$D$61,3,0),"")))))</f>
      </c>
      <c r="Z7" s="44">
        <f>IF(ISNA(IF($B7="SK ALG",VLOOKUP(Z$4,'Võistluste järjestused'!$B$11:$D$18,3,0),IF($B7="SK 1",VLOOKUP(Z$4,'Võistluste järjestused'!$B$23:$D$33,3,0),IF($B7="SK 2",VLOOKUP(Z$4,'Võistluste järjestused'!$B$38:$D$47,3,0),IF($B7="SK 3",VLOOKUP(Z$4,'Võistluste järjestused'!$B$52:$D$61,3,0),""))))),"",IF($B7="SK ALG",VLOOKUP(Z$4,'Võistluste järjestused'!$B$11:$D$18,3,0),IF($B7="SK 1",VLOOKUP(Z$4,'Võistluste järjestused'!$B$23:$D$33,3,0),IF($B7="SK 2",VLOOKUP(Z$4,'Võistluste järjestused'!$B$38:$D$47,3,0),IF($B7="SK 3",VLOOKUP(Z$4,'Võistluste järjestused'!$B$52:$D$61,3,0),"")))))</f>
      </c>
      <c r="AA7" s="44">
        <f>IF(ISNA(IF($B7="SK ALG",VLOOKUP(AA$4,'Võistluste järjestused'!$B$11:$D$18,3,0),IF($B7="SK 1",VLOOKUP(AA$4,'Võistluste järjestused'!$B$23:$D$33,3,0),IF($B7="SK 2",VLOOKUP(AA$4,'Võistluste järjestused'!$B$38:$D$47,3,0),IF($B7="SK 3",VLOOKUP(AA$4,'Võistluste järjestused'!$B$52:$D$61,3,0),""))))),"",IF($B7="SK ALG",VLOOKUP(AA$4,'Võistluste järjestused'!$B$11:$D$18,3,0),IF($B7="SK 1",VLOOKUP(AA$4,'Võistluste järjestused'!$B$23:$D$33,3,0),IF($B7="SK 2",VLOOKUP(AA$4,'Võistluste järjestused'!$B$38:$D$47,3,0),IF($B7="SK 3",VLOOKUP(AA$4,'Võistluste järjestused'!$B$52:$D$61,3,0),"")))))</f>
      </c>
      <c r="AB7" s="44">
        <f>IF(ISNA(IF($B7="SK ALG",VLOOKUP(AB$4,'Võistluste järjestused'!$B$11:$D$18,3,0),IF($B7="SK 1",VLOOKUP(AB$4,'Võistluste järjestused'!$B$23:$D$33,3,0),IF($B7="SK 2",VLOOKUP(AB$4,'Võistluste järjestused'!$B$38:$D$47,3,0),IF($B7="SK 3",VLOOKUP(AB$4,'Võistluste järjestused'!$B$52:$D$61,3,0),""))))),"",IF($B7="SK ALG",VLOOKUP(AB$4,'Võistluste järjestused'!$B$11:$D$18,3,0),IF($B7="SK 1",VLOOKUP(AB$4,'Võistluste järjestused'!$B$23:$D$33,3,0),IF($B7="SK 2",VLOOKUP(AB$4,'Võistluste järjestused'!$B$38:$D$47,3,0),IF($B7="SK 3",VLOOKUP(AB$4,'Võistluste järjestused'!$B$52:$D$61,3,0),"")))))</f>
      </c>
      <c r="AC7" s="44">
        <f>IF(ISNA(IF($B7="SK ALG",VLOOKUP(AC$4,'Võistluste järjestused'!$B$11:$D$18,3,0),IF($B7="SK 1",VLOOKUP(AC$4,'Võistluste järjestused'!$B$23:$D$33,3,0),IF($B7="SK 2",VLOOKUP(AC$4,'Võistluste järjestused'!$B$38:$D$47,3,0),IF($B7="SK 3",VLOOKUP(AC$4,'Võistluste järjestused'!$B$52:$D$61,3,0),""))))),"",IF($B7="SK ALG",VLOOKUP(AC$4,'Võistluste järjestused'!$B$11:$D$18,3,0),IF($B7="SK 1",VLOOKUP(AC$4,'Võistluste järjestused'!$B$23:$D$33,3,0),IF($B7="SK 2",VLOOKUP(AC$4,'Võistluste järjestused'!$B$38:$D$47,3,0),IF($B7="SK 3",VLOOKUP(AC$4,'Võistluste järjestused'!$B$52:$D$61,3,0),"")))))</f>
      </c>
      <c r="AD7" s="45"/>
      <c r="AE7" s="45"/>
      <c r="AF7" s="45"/>
      <c r="AG7" s="45"/>
      <c r="AH7" s="30">
        <f t="shared" si="6"/>
      </c>
      <c r="AI7" s="46">
        <f>IF(B7="","",IF(AH7="DSQ",0,H7*S7+I7*T7+J7*U7+K7*V7+L7*W7+M7*X7+N7*Y7+O7*Z7+P7*AA7+Q7*AB7+R7*AC7+AE7*'Võistluste järjestused'!D65))</f>
      </c>
      <c r="AJ7" s="30">
        <f>IF(B7="","",IF(AI7&gt;=VLOOKUP(B7,'Võistluste järjestused'!$F$18:$J$21,3,0),"I järk",IF(AI7&gt;=VLOOKUP(B7,'Võistluste järjestused'!$F$18:$J$21,4,0),"II järk",IF(AI7&gt;=VLOOKUP(B7,'Võistluste järjestused'!$F$18:$J$21,5,0),"III järk",0))))</f>
      </c>
      <c r="AK7" s="30">
        <f t="shared" si="0"/>
      </c>
      <c r="AL7" s="30">
        <f t="shared" si="1"/>
      </c>
      <c r="AM7" s="30">
        <f t="shared" si="2"/>
      </c>
      <c r="AN7" s="30">
        <f t="shared" si="3"/>
      </c>
      <c r="AO7" s="30">
        <f t="shared" si="4"/>
      </c>
      <c r="AP7" s="47">
        <f t="shared" si="5"/>
      </c>
      <c r="AQ7"/>
      <c r="AR7" s="37"/>
    </row>
    <row r="8" spans="1:44" s="36" customFormat="1" ht="25.5">
      <c r="A8" s="30">
        <v>4</v>
      </c>
      <c r="B8" s="40"/>
      <c r="C8" s="41"/>
      <c r="D8" s="41"/>
      <c r="E8" s="41"/>
      <c r="F8" s="40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>
        <f>IF(ISNA(IF($B8="SK ALG",VLOOKUP(S$4,'Võistluste järjestused'!$B$11:$D$18,3,0),IF($B8="SK 1",VLOOKUP(S$4,'Võistluste järjestused'!$B$23:$D$33,3,0),IF($B8="SK 2",VLOOKUP(S$4,'Võistluste järjestused'!$B$38:$D$47,3,0),IF($B8="SK 3",VLOOKUP(S$4,'Võistluste järjestused'!$B$52:$D$61,3,0),""))))),"",IF($B8="SK ALG",VLOOKUP(S$4,'Võistluste järjestused'!$B$11:$D$18,3,0),IF($B8="SK 1",VLOOKUP(S$4,'Võistluste järjestused'!$B$23:$D$33,3,0),IF($B8="SK 2",VLOOKUP(S$4,'Võistluste järjestused'!$B$38:$D$47,3,0),IF($B8="SK 3",VLOOKUP(S$4,'Võistluste järjestused'!$B$52:$D$61,3,0),"")))))</f>
      </c>
      <c r="T8" s="44">
        <f>IF(ISNA(IF($B8="SK ALG",VLOOKUP(T$4,'Võistluste järjestused'!$B$11:$D$18,3,0),IF($B8="SK 1",VLOOKUP(T$4,'Võistluste järjestused'!$B$23:$D$33,3,0),IF($B8="SK 2",VLOOKUP(T$4,'Võistluste järjestused'!$B$38:$D$47,3,0),IF($B8="SK 3",VLOOKUP(T$4,'Võistluste järjestused'!$B$52:$D$61,3,0),""))))),"",IF($B8="SK ALG",VLOOKUP(T$4,'Võistluste järjestused'!$B$11:$D$18,3,0),IF($B8="SK 1",VLOOKUP(T$4,'Võistluste järjestused'!$B$23:$D$33,3,0),IF($B8="SK 2",VLOOKUP(T$4,'Võistluste järjestused'!$B$38:$D$47,3,0),IF($B8="SK 3",VLOOKUP(T$4,'Võistluste järjestused'!$B$52:$D$61,3,0),"")))))</f>
      </c>
      <c r="U8" s="44">
        <f>IF(ISNA(IF($B8="SK ALG",VLOOKUP(U$4,'Võistluste järjestused'!$B$11:$D$18,3,0),IF($B8="SK 1",VLOOKUP(U$4,'Võistluste järjestused'!$B$23:$D$33,3,0),IF($B8="SK 2",VLOOKUP(U$4,'Võistluste järjestused'!$B$38:$D$47,3,0),IF($B8="SK 3",VLOOKUP(U$4,'Võistluste järjestused'!$B$52:$D$61,3,0),""))))),"",IF($B8="SK ALG",VLOOKUP(U$4,'Võistluste järjestused'!$B$11:$D$18,3,0),IF($B8="SK 1",VLOOKUP(U$4,'Võistluste järjestused'!$B$23:$D$33,3,0),IF($B8="SK 2",VLOOKUP(U$4,'Võistluste järjestused'!$B$38:$D$47,3,0),IF($B8="SK 3",VLOOKUP(U$4,'Võistluste järjestused'!$B$52:$D$61,3,0),"")))))</f>
      </c>
      <c r="V8" s="44">
        <f>IF(ISNA(IF($B8="SK ALG",VLOOKUP(V$4,'Võistluste järjestused'!$B$11:$D$18,3,0),IF($B8="SK 1",VLOOKUP(V$4,'Võistluste järjestused'!$B$23:$D$33,3,0),IF($B8="SK 2",VLOOKUP(V$4,'Võistluste järjestused'!$B$38:$D$47,3,0),IF($B8="SK 3",VLOOKUP(V$4,'Võistluste järjestused'!$B$52:$D$61,3,0),""))))),"",IF($B8="SK ALG",VLOOKUP(V$4,'Võistluste järjestused'!$B$11:$D$18,3,0),IF($B8="SK 1",VLOOKUP(V$4,'Võistluste järjestused'!$B$23:$D$33,3,0),IF($B8="SK 2",VLOOKUP(V$4,'Võistluste järjestused'!$B$38:$D$47,3,0),IF($B8="SK 3",VLOOKUP(V$4,'Võistluste järjestused'!$B$52:$D$61,3,0),"")))))</f>
      </c>
      <c r="W8" s="44">
        <f>IF(ISNA(IF($B8="SK ALG",VLOOKUP(W$4,'Võistluste järjestused'!$B$11:$D$18,3,0),IF($B8="SK 1",VLOOKUP(W$4,'Võistluste järjestused'!$B$23:$D$33,3,0),IF($B8="SK 2",VLOOKUP(W$4,'Võistluste järjestused'!$B$38:$D$47,3,0),IF($B8="SK 3",VLOOKUP(W$4,'Võistluste järjestused'!$B$52:$D$61,3,0),""))))),"",IF($B8="SK ALG",VLOOKUP(W$4,'Võistluste järjestused'!$B$11:$D$18,3,0),IF($B8="SK 1",VLOOKUP(W$4,'Võistluste järjestused'!$B$23:$D$33,3,0),IF($B8="SK 2",VLOOKUP(W$4,'Võistluste järjestused'!$B$38:$D$47,3,0),IF($B8="SK 3",VLOOKUP(W$4,'Võistluste järjestused'!$B$52:$D$61,3,0),"")))))</f>
      </c>
      <c r="X8" s="44">
        <f>IF(ISNA(IF($B8="SK ALG",VLOOKUP(X$4,'Võistluste järjestused'!$B$11:$D$18,3,0),IF($B8="SK 1",VLOOKUP(X$4,'Võistluste järjestused'!$B$23:$D$33,3,0),IF($B8="SK 2",VLOOKUP(X$4,'Võistluste järjestused'!$B$38:$D$47,3,0),IF($B8="SK 3",VLOOKUP(X$4,'Võistluste järjestused'!$B$52:$D$61,3,0),""))))),"",IF($B8="SK ALG",VLOOKUP(X$4,'Võistluste järjestused'!$B$11:$D$18,3,0),IF($B8="SK 1",VLOOKUP(X$4,'Võistluste järjestused'!$B$23:$D$33,3,0),IF($B8="SK 2",VLOOKUP(X$4,'Võistluste järjestused'!$B$38:$D$47,3,0),IF($B8="SK 3",VLOOKUP(X$4,'Võistluste järjestused'!$B$52:$D$61,3,0),"")))))</f>
      </c>
      <c r="Y8" s="44">
        <f>IF(ISNA(IF($B8="SK ALG",VLOOKUP(Y$4,'Võistluste järjestused'!$B$11:$D$18,3,0),IF($B8="SK 1",VLOOKUP(Y$4,'Võistluste järjestused'!$B$23:$D$33,3,0),IF($B8="SK 2",VLOOKUP(Y$4,'Võistluste järjestused'!$B$38:$D$47,3,0),IF($B8="SK 3",VLOOKUP(Y$4,'Võistluste järjestused'!$B$52:$D$61,3,0),""))))),"",IF($B8="SK ALG",VLOOKUP(Y$4,'Võistluste järjestused'!$B$11:$D$18,3,0),IF($B8="SK 1",VLOOKUP(Y$4,'Võistluste järjestused'!$B$23:$D$33,3,0),IF($B8="SK 2",VLOOKUP(Y$4,'Võistluste järjestused'!$B$38:$D$47,3,0),IF($B8="SK 3",VLOOKUP(Y$4,'Võistluste järjestused'!$B$52:$D$61,3,0),"")))))</f>
      </c>
      <c r="Z8" s="44">
        <f>IF(ISNA(IF($B8="SK ALG",VLOOKUP(Z$4,'Võistluste järjestused'!$B$11:$D$18,3,0),IF($B8="SK 1",VLOOKUP(Z$4,'Võistluste järjestused'!$B$23:$D$33,3,0),IF($B8="SK 2",VLOOKUP(Z$4,'Võistluste järjestused'!$B$38:$D$47,3,0),IF($B8="SK 3",VLOOKUP(Z$4,'Võistluste järjestused'!$B$52:$D$61,3,0),""))))),"",IF($B8="SK ALG",VLOOKUP(Z$4,'Võistluste järjestused'!$B$11:$D$18,3,0),IF($B8="SK 1",VLOOKUP(Z$4,'Võistluste järjestused'!$B$23:$D$33,3,0),IF($B8="SK 2",VLOOKUP(Z$4,'Võistluste järjestused'!$B$38:$D$47,3,0),IF($B8="SK 3",VLOOKUP(Z$4,'Võistluste järjestused'!$B$52:$D$61,3,0),"")))))</f>
      </c>
      <c r="AA8" s="44">
        <f>IF(ISNA(IF($B8="SK ALG",VLOOKUP(AA$4,'Võistluste järjestused'!$B$11:$D$18,3,0),IF($B8="SK 1",VLOOKUP(AA$4,'Võistluste järjestused'!$B$23:$D$33,3,0),IF($B8="SK 2",VLOOKUP(AA$4,'Võistluste järjestused'!$B$38:$D$47,3,0),IF($B8="SK 3",VLOOKUP(AA$4,'Võistluste järjestused'!$B$52:$D$61,3,0),""))))),"",IF($B8="SK ALG",VLOOKUP(AA$4,'Võistluste järjestused'!$B$11:$D$18,3,0),IF($B8="SK 1",VLOOKUP(AA$4,'Võistluste järjestused'!$B$23:$D$33,3,0),IF($B8="SK 2",VLOOKUP(AA$4,'Võistluste järjestused'!$B$38:$D$47,3,0),IF($B8="SK 3",VLOOKUP(AA$4,'Võistluste järjestused'!$B$52:$D$61,3,0),"")))))</f>
      </c>
      <c r="AB8" s="44">
        <f>IF(ISNA(IF($B8="SK ALG",VLOOKUP(AB$4,'Võistluste järjestused'!$B$11:$D$18,3,0),IF($B8="SK 1",VLOOKUP(AB$4,'Võistluste järjestused'!$B$23:$D$33,3,0),IF($B8="SK 2",VLOOKUP(AB$4,'Võistluste järjestused'!$B$38:$D$47,3,0),IF($B8="SK 3",VLOOKUP(AB$4,'Võistluste järjestused'!$B$52:$D$61,3,0),""))))),"",IF($B8="SK ALG",VLOOKUP(AB$4,'Võistluste järjestused'!$B$11:$D$18,3,0),IF($B8="SK 1",VLOOKUP(AB$4,'Võistluste järjestused'!$B$23:$D$33,3,0),IF($B8="SK 2",VLOOKUP(AB$4,'Võistluste järjestused'!$B$38:$D$47,3,0),IF($B8="SK 3",VLOOKUP(AB$4,'Võistluste järjestused'!$B$52:$D$61,3,0),"")))))</f>
      </c>
      <c r="AC8" s="44">
        <f>IF(ISNA(IF($B8="SK ALG",VLOOKUP(AC$4,'Võistluste järjestused'!$B$11:$D$18,3,0),IF($B8="SK 1",VLOOKUP(AC$4,'Võistluste järjestused'!$B$23:$D$33,3,0),IF($B8="SK 2",VLOOKUP(AC$4,'Võistluste järjestused'!$B$38:$D$47,3,0),IF($B8="SK 3",VLOOKUP(AC$4,'Võistluste järjestused'!$B$52:$D$61,3,0),""))))),"",IF($B8="SK ALG",VLOOKUP(AC$4,'Võistluste järjestused'!$B$11:$D$18,3,0),IF($B8="SK 1",VLOOKUP(AC$4,'Võistluste järjestused'!$B$23:$D$33,3,0),IF($B8="SK 2",VLOOKUP(AC$4,'Võistluste järjestused'!$B$38:$D$47,3,0),IF($B8="SK 3",VLOOKUP(AC$4,'Võistluste järjestused'!$B$52:$D$61,3,0),"")))))</f>
      </c>
      <c r="AD8" s="45"/>
      <c r="AE8" s="45"/>
      <c r="AF8" s="45"/>
      <c r="AG8" s="45"/>
      <c r="AH8" s="30">
        <f t="shared" si="6"/>
      </c>
      <c r="AI8" s="46">
        <f>IF(B8="","",IF(AH8="DSQ",0,H8*S8+I8*T8+J8*U8+K8*V8+L8*W8+M8*X8+N8*Y8+O8*Z8+P8*AA8+Q8*AB8+R8*AC8+AE8*'Võistluste järjestused'!D66))</f>
      </c>
      <c r="AJ8" s="30">
        <f>IF(B8="","",IF(AI8&gt;=VLOOKUP(B8,'Võistluste järjestused'!$F$18:$J$21,3,0),"I järk",IF(AI8&gt;=VLOOKUP(B8,'Võistluste järjestused'!$F$18:$J$21,4,0),"II järk",IF(AI8&gt;=VLOOKUP(B8,'Võistluste järjestused'!$F$18:$J$21,5,0),"III järk",0))))</f>
      </c>
      <c r="AK8" s="30">
        <f t="shared" si="0"/>
      </c>
      <c r="AL8" s="30">
        <f t="shared" si="1"/>
      </c>
      <c r="AM8" s="30">
        <f t="shared" si="2"/>
      </c>
      <c r="AN8" s="30">
        <f t="shared" si="3"/>
      </c>
      <c r="AO8" s="30">
        <f t="shared" si="4"/>
      </c>
      <c r="AP8" s="47">
        <f t="shared" si="5"/>
      </c>
      <c r="AQ8"/>
      <c r="AR8" s="37"/>
    </row>
    <row r="9" spans="1:44" s="36" customFormat="1" ht="25.5">
      <c r="A9" s="30">
        <v>5</v>
      </c>
      <c r="B9" s="40"/>
      <c r="C9" s="41"/>
      <c r="D9" s="41"/>
      <c r="E9" s="41"/>
      <c r="F9" s="40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>
        <f>IF(ISNA(IF($B9="SK ALG",VLOOKUP(S$4,'Võistluste järjestused'!$B$11:$D$18,3,0),IF($B9="SK 1",VLOOKUP(S$4,'Võistluste järjestused'!$B$23:$D$33,3,0),IF($B9="SK 2",VLOOKUP(S$4,'Võistluste järjestused'!$B$38:$D$47,3,0),IF($B9="SK 3",VLOOKUP(S$4,'Võistluste järjestused'!$B$52:$D$61,3,0),""))))),"",IF($B9="SK ALG",VLOOKUP(S$4,'Võistluste järjestused'!$B$11:$D$18,3,0),IF($B9="SK 1",VLOOKUP(S$4,'Võistluste järjestused'!$B$23:$D$33,3,0),IF($B9="SK 2",VLOOKUP(S$4,'Võistluste järjestused'!$B$38:$D$47,3,0),IF($B9="SK 3",VLOOKUP(S$4,'Võistluste järjestused'!$B$52:$D$61,3,0),"")))))</f>
      </c>
      <c r="T9" s="44">
        <f>IF(ISNA(IF($B9="SK ALG",VLOOKUP(T$4,'Võistluste järjestused'!$B$11:$D$18,3,0),IF($B9="SK 1",VLOOKUP(T$4,'Võistluste järjestused'!$B$23:$D$33,3,0),IF($B9="SK 2",VLOOKUP(T$4,'Võistluste järjestused'!$B$38:$D$47,3,0),IF($B9="SK 3",VLOOKUP(T$4,'Võistluste järjestused'!$B$52:$D$61,3,0),""))))),"",IF($B9="SK ALG",VLOOKUP(T$4,'Võistluste järjestused'!$B$11:$D$18,3,0),IF($B9="SK 1",VLOOKUP(T$4,'Võistluste järjestused'!$B$23:$D$33,3,0),IF($B9="SK 2",VLOOKUP(T$4,'Võistluste järjestused'!$B$38:$D$47,3,0),IF($B9="SK 3",VLOOKUP(T$4,'Võistluste järjestused'!$B$52:$D$61,3,0),"")))))</f>
      </c>
      <c r="U9" s="44">
        <f>IF(ISNA(IF($B9="SK ALG",VLOOKUP(U$4,'Võistluste järjestused'!$B$11:$D$18,3,0),IF($B9="SK 1",VLOOKUP(U$4,'Võistluste järjestused'!$B$23:$D$33,3,0),IF($B9="SK 2",VLOOKUP(U$4,'Võistluste järjestused'!$B$38:$D$47,3,0),IF($B9="SK 3",VLOOKUP(U$4,'Võistluste järjestused'!$B$52:$D$61,3,0),""))))),"",IF($B9="SK ALG",VLOOKUP(U$4,'Võistluste järjestused'!$B$11:$D$18,3,0),IF($B9="SK 1",VLOOKUP(U$4,'Võistluste järjestused'!$B$23:$D$33,3,0),IF($B9="SK 2",VLOOKUP(U$4,'Võistluste järjestused'!$B$38:$D$47,3,0),IF($B9="SK 3",VLOOKUP(U$4,'Võistluste järjestused'!$B$52:$D$61,3,0),"")))))</f>
      </c>
      <c r="V9" s="44">
        <f>IF(ISNA(IF($B9="SK ALG",VLOOKUP(V$4,'Võistluste järjestused'!$B$11:$D$18,3,0),IF($B9="SK 1",VLOOKUP(V$4,'Võistluste järjestused'!$B$23:$D$33,3,0),IF($B9="SK 2",VLOOKUP(V$4,'Võistluste järjestused'!$B$38:$D$47,3,0),IF($B9="SK 3",VLOOKUP(V$4,'Võistluste järjestused'!$B$52:$D$61,3,0),""))))),"",IF($B9="SK ALG",VLOOKUP(V$4,'Võistluste järjestused'!$B$11:$D$18,3,0),IF($B9="SK 1",VLOOKUP(V$4,'Võistluste järjestused'!$B$23:$D$33,3,0),IF($B9="SK 2",VLOOKUP(V$4,'Võistluste järjestused'!$B$38:$D$47,3,0),IF($B9="SK 3",VLOOKUP(V$4,'Võistluste järjestused'!$B$52:$D$61,3,0),"")))))</f>
      </c>
      <c r="W9" s="44">
        <f>IF(ISNA(IF($B9="SK ALG",VLOOKUP(W$4,'Võistluste järjestused'!$B$11:$D$18,3,0),IF($B9="SK 1",VLOOKUP(W$4,'Võistluste järjestused'!$B$23:$D$33,3,0),IF($B9="SK 2",VLOOKUP(W$4,'Võistluste järjestused'!$B$38:$D$47,3,0),IF($B9="SK 3",VLOOKUP(W$4,'Võistluste järjestused'!$B$52:$D$61,3,0),""))))),"",IF($B9="SK ALG",VLOOKUP(W$4,'Võistluste järjestused'!$B$11:$D$18,3,0),IF($B9="SK 1",VLOOKUP(W$4,'Võistluste järjestused'!$B$23:$D$33,3,0),IF($B9="SK 2",VLOOKUP(W$4,'Võistluste järjestused'!$B$38:$D$47,3,0),IF($B9="SK 3",VLOOKUP(W$4,'Võistluste järjestused'!$B$52:$D$61,3,0),"")))))</f>
      </c>
      <c r="X9" s="44">
        <f>IF(ISNA(IF($B9="SK ALG",VLOOKUP(X$4,'Võistluste järjestused'!$B$11:$D$18,3,0),IF($B9="SK 1",VLOOKUP(X$4,'Võistluste järjestused'!$B$23:$D$33,3,0),IF($B9="SK 2",VLOOKUP(X$4,'Võistluste järjestused'!$B$38:$D$47,3,0),IF($B9="SK 3",VLOOKUP(X$4,'Võistluste järjestused'!$B$52:$D$61,3,0),""))))),"",IF($B9="SK ALG",VLOOKUP(X$4,'Võistluste järjestused'!$B$11:$D$18,3,0),IF($B9="SK 1",VLOOKUP(X$4,'Võistluste järjestused'!$B$23:$D$33,3,0),IF($B9="SK 2",VLOOKUP(X$4,'Võistluste järjestused'!$B$38:$D$47,3,0),IF($B9="SK 3",VLOOKUP(X$4,'Võistluste järjestused'!$B$52:$D$61,3,0),"")))))</f>
      </c>
      <c r="Y9" s="44">
        <f>IF(ISNA(IF($B9="SK ALG",VLOOKUP(Y$4,'Võistluste järjestused'!$B$11:$D$18,3,0),IF($B9="SK 1",VLOOKUP(Y$4,'Võistluste järjestused'!$B$23:$D$33,3,0),IF($B9="SK 2",VLOOKUP(Y$4,'Võistluste järjestused'!$B$38:$D$47,3,0),IF($B9="SK 3",VLOOKUP(Y$4,'Võistluste järjestused'!$B$52:$D$61,3,0),""))))),"",IF($B9="SK ALG",VLOOKUP(Y$4,'Võistluste järjestused'!$B$11:$D$18,3,0),IF($B9="SK 1",VLOOKUP(Y$4,'Võistluste järjestused'!$B$23:$D$33,3,0),IF($B9="SK 2",VLOOKUP(Y$4,'Võistluste järjestused'!$B$38:$D$47,3,0),IF($B9="SK 3",VLOOKUP(Y$4,'Võistluste järjestused'!$B$52:$D$61,3,0),"")))))</f>
      </c>
      <c r="Z9" s="44">
        <f>IF(ISNA(IF($B9="SK ALG",VLOOKUP(Z$4,'Võistluste järjestused'!$B$11:$D$18,3,0),IF($B9="SK 1",VLOOKUP(Z$4,'Võistluste järjestused'!$B$23:$D$33,3,0),IF($B9="SK 2",VLOOKUP(Z$4,'Võistluste järjestused'!$B$38:$D$47,3,0),IF($B9="SK 3",VLOOKUP(Z$4,'Võistluste järjestused'!$B$52:$D$61,3,0),""))))),"",IF($B9="SK ALG",VLOOKUP(Z$4,'Võistluste järjestused'!$B$11:$D$18,3,0),IF($B9="SK 1",VLOOKUP(Z$4,'Võistluste järjestused'!$B$23:$D$33,3,0),IF($B9="SK 2",VLOOKUP(Z$4,'Võistluste järjestused'!$B$38:$D$47,3,0),IF($B9="SK 3",VLOOKUP(Z$4,'Võistluste järjestused'!$B$52:$D$61,3,0),"")))))</f>
      </c>
      <c r="AA9" s="44">
        <f>IF(ISNA(IF($B9="SK ALG",VLOOKUP(AA$4,'Võistluste järjestused'!$B$11:$D$18,3,0),IF($B9="SK 1",VLOOKUP(AA$4,'Võistluste järjestused'!$B$23:$D$33,3,0),IF($B9="SK 2",VLOOKUP(AA$4,'Võistluste järjestused'!$B$38:$D$47,3,0),IF($B9="SK 3",VLOOKUP(AA$4,'Võistluste järjestused'!$B$52:$D$61,3,0),""))))),"",IF($B9="SK ALG",VLOOKUP(AA$4,'Võistluste järjestused'!$B$11:$D$18,3,0),IF($B9="SK 1",VLOOKUP(AA$4,'Võistluste järjestused'!$B$23:$D$33,3,0),IF($B9="SK 2",VLOOKUP(AA$4,'Võistluste järjestused'!$B$38:$D$47,3,0),IF($B9="SK 3",VLOOKUP(AA$4,'Võistluste järjestused'!$B$52:$D$61,3,0),"")))))</f>
      </c>
      <c r="AB9" s="44">
        <f>IF(ISNA(IF($B9="SK ALG",VLOOKUP(AB$4,'Võistluste järjestused'!$B$11:$D$18,3,0),IF($B9="SK 1",VLOOKUP(AB$4,'Võistluste järjestused'!$B$23:$D$33,3,0),IF($B9="SK 2",VLOOKUP(AB$4,'Võistluste järjestused'!$B$38:$D$47,3,0),IF($B9="SK 3",VLOOKUP(AB$4,'Võistluste järjestused'!$B$52:$D$61,3,0),""))))),"",IF($B9="SK ALG",VLOOKUP(AB$4,'Võistluste järjestused'!$B$11:$D$18,3,0),IF($B9="SK 1",VLOOKUP(AB$4,'Võistluste järjestused'!$B$23:$D$33,3,0),IF($B9="SK 2",VLOOKUP(AB$4,'Võistluste järjestused'!$B$38:$D$47,3,0),IF($B9="SK 3",VLOOKUP(AB$4,'Võistluste järjestused'!$B$52:$D$61,3,0),"")))))</f>
      </c>
      <c r="AC9" s="44">
        <f>IF(ISNA(IF($B9="SK ALG",VLOOKUP(AC$4,'Võistluste järjestused'!$B$11:$D$18,3,0),IF($B9="SK 1",VLOOKUP(AC$4,'Võistluste järjestused'!$B$23:$D$33,3,0),IF($B9="SK 2",VLOOKUP(AC$4,'Võistluste järjestused'!$B$38:$D$47,3,0),IF($B9="SK 3",VLOOKUP(AC$4,'Võistluste järjestused'!$B$52:$D$61,3,0),""))))),"",IF($B9="SK ALG",VLOOKUP(AC$4,'Võistluste järjestused'!$B$11:$D$18,3,0),IF($B9="SK 1",VLOOKUP(AC$4,'Võistluste järjestused'!$B$23:$D$33,3,0),IF($B9="SK 2",VLOOKUP(AC$4,'Võistluste järjestused'!$B$38:$D$47,3,0),IF($B9="SK 3",VLOOKUP(AC$4,'Võistluste järjestused'!$B$52:$D$61,3,0),"")))))</f>
      </c>
      <c r="AD9" s="45"/>
      <c r="AE9" s="45"/>
      <c r="AF9" s="45"/>
      <c r="AG9" s="45"/>
      <c r="AH9" s="30">
        <f t="shared" si="6"/>
      </c>
      <c r="AI9" s="46">
        <f>IF(B9="","",IF(AH9="DSQ",0,H9*S9+I9*T9+J9*U9+K9*V9+L9*W9+M9*X9+N9*Y9+O9*Z9+P9*AA9+Q9*AB9+R9*AC9+AE9*'Võistluste järjestused'!D67))</f>
      </c>
      <c r="AJ9" s="30">
        <f>IF(B9="","",IF(AI9&gt;=VLOOKUP(B9,'Võistluste järjestused'!$F$18:$J$21,3,0),"I järk",IF(AI9&gt;=VLOOKUP(B9,'Võistluste järjestused'!$F$18:$J$21,4,0),"II järk",IF(AI9&gt;=VLOOKUP(B9,'Võistluste järjestused'!$F$18:$J$21,5,0),"III järk",0))))</f>
      </c>
      <c r="AK9" s="30">
        <f t="shared" si="0"/>
      </c>
      <c r="AL9" s="30">
        <f t="shared" si="1"/>
      </c>
      <c r="AM9" s="30">
        <f t="shared" si="2"/>
      </c>
      <c r="AN9" s="30">
        <f t="shared" si="3"/>
      </c>
      <c r="AO9" s="30">
        <f t="shared" si="4"/>
      </c>
      <c r="AP9" s="47">
        <f t="shared" si="5"/>
      </c>
      <c r="AQ9"/>
      <c r="AR9" s="37"/>
    </row>
    <row r="10" spans="1:44" s="36" customFormat="1" ht="25.5">
      <c r="A10" s="30">
        <v>6</v>
      </c>
      <c r="B10" s="40"/>
      <c r="C10" s="41"/>
      <c r="D10" s="41"/>
      <c r="E10" s="41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>
        <f>IF(ISNA(IF($B10="SK ALG",VLOOKUP(S$4,'Võistluste järjestused'!$B$11:$D$18,3,0),IF($B10="SK 1",VLOOKUP(S$4,'Võistluste järjestused'!$B$23:$D$33,3,0),IF($B10="SK 2",VLOOKUP(S$4,'Võistluste järjestused'!$B$38:$D$47,3,0),IF($B10="SK 3",VLOOKUP(S$4,'Võistluste järjestused'!$B$52:$D$61,3,0),""))))),"",IF($B10="SK ALG",VLOOKUP(S$4,'Võistluste järjestused'!$B$11:$D$18,3,0),IF($B10="SK 1",VLOOKUP(S$4,'Võistluste järjestused'!$B$23:$D$33,3,0),IF($B10="SK 2",VLOOKUP(S$4,'Võistluste järjestused'!$B$38:$D$47,3,0),IF($B10="SK 3",VLOOKUP(S$4,'Võistluste järjestused'!$B$52:$D$61,3,0),"")))))</f>
      </c>
      <c r="T10" s="44">
        <f>IF(ISNA(IF($B10="SK ALG",VLOOKUP(T$4,'Võistluste järjestused'!$B$11:$D$18,3,0),IF($B10="SK 1",VLOOKUP(T$4,'Võistluste järjestused'!$B$23:$D$33,3,0),IF($B10="SK 2",VLOOKUP(T$4,'Võistluste järjestused'!$B$38:$D$47,3,0),IF($B10="SK 3",VLOOKUP(T$4,'Võistluste järjestused'!$B$52:$D$61,3,0),""))))),"",IF($B10="SK ALG",VLOOKUP(T$4,'Võistluste järjestused'!$B$11:$D$18,3,0),IF($B10="SK 1",VLOOKUP(T$4,'Võistluste järjestused'!$B$23:$D$33,3,0),IF($B10="SK 2",VLOOKUP(T$4,'Võistluste järjestused'!$B$38:$D$47,3,0),IF($B10="SK 3",VLOOKUP(T$4,'Võistluste järjestused'!$B$52:$D$61,3,0),"")))))</f>
      </c>
      <c r="U10" s="44">
        <f>IF(ISNA(IF($B10="SK ALG",VLOOKUP(U$4,'Võistluste järjestused'!$B$11:$D$18,3,0),IF($B10="SK 1",VLOOKUP(U$4,'Võistluste järjestused'!$B$23:$D$33,3,0),IF($B10="SK 2",VLOOKUP(U$4,'Võistluste järjestused'!$B$38:$D$47,3,0),IF($B10="SK 3",VLOOKUP(U$4,'Võistluste järjestused'!$B$52:$D$61,3,0),""))))),"",IF($B10="SK ALG",VLOOKUP(U$4,'Võistluste järjestused'!$B$11:$D$18,3,0),IF($B10="SK 1",VLOOKUP(U$4,'Võistluste järjestused'!$B$23:$D$33,3,0),IF($B10="SK 2",VLOOKUP(U$4,'Võistluste järjestused'!$B$38:$D$47,3,0),IF($B10="SK 3",VLOOKUP(U$4,'Võistluste järjestused'!$B$52:$D$61,3,0),"")))))</f>
      </c>
      <c r="V10" s="44">
        <f>IF(ISNA(IF($B10="SK ALG",VLOOKUP(V$4,'Võistluste järjestused'!$B$11:$D$18,3,0),IF($B10="SK 1",VLOOKUP(V$4,'Võistluste järjestused'!$B$23:$D$33,3,0),IF($B10="SK 2",VLOOKUP(V$4,'Võistluste järjestused'!$B$38:$D$47,3,0),IF($B10="SK 3",VLOOKUP(V$4,'Võistluste järjestused'!$B$52:$D$61,3,0),""))))),"",IF($B10="SK ALG",VLOOKUP(V$4,'Võistluste järjestused'!$B$11:$D$18,3,0),IF($B10="SK 1",VLOOKUP(V$4,'Võistluste järjestused'!$B$23:$D$33,3,0),IF($B10="SK 2",VLOOKUP(V$4,'Võistluste järjestused'!$B$38:$D$47,3,0),IF($B10="SK 3",VLOOKUP(V$4,'Võistluste järjestused'!$B$52:$D$61,3,0),"")))))</f>
      </c>
      <c r="W10" s="44">
        <f>IF(ISNA(IF($B10="SK ALG",VLOOKUP(W$4,'Võistluste järjestused'!$B$11:$D$18,3,0),IF($B10="SK 1",VLOOKUP(W$4,'Võistluste järjestused'!$B$23:$D$33,3,0),IF($B10="SK 2",VLOOKUP(W$4,'Võistluste järjestused'!$B$38:$D$47,3,0),IF($B10="SK 3",VLOOKUP(W$4,'Võistluste järjestused'!$B$52:$D$61,3,0),""))))),"",IF($B10="SK ALG",VLOOKUP(W$4,'Võistluste järjestused'!$B$11:$D$18,3,0),IF($B10="SK 1",VLOOKUP(W$4,'Võistluste järjestused'!$B$23:$D$33,3,0),IF($B10="SK 2",VLOOKUP(W$4,'Võistluste järjestused'!$B$38:$D$47,3,0),IF($B10="SK 3",VLOOKUP(W$4,'Võistluste järjestused'!$B$52:$D$61,3,0),"")))))</f>
      </c>
      <c r="X10" s="44">
        <f>IF(ISNA(IF($B10="SK ALG",VLOOKUP(X$4,'Võistluste järjestused'!$B$11:$D$18,3,0),IF($B10="SK 1",VLOOKUP(X$4,'Võistluste järjestused'!$B$23:$D$33,3,0),IF($B10="SK 2",VLOOKUP(X$4,'Võistluste järjestused'!$B$38:$D$47,3,0),IF($B10="SK 3",VLOOKUP(X$4,'Võistluste järjestused'!$B$52:$D$61,3,0),""))))),"",IF($B10="SK ALG",VLOOKUP(X$4,'Võistluste järjestused'!$B$11:$D$18,3,0),IF($B10="SK 1",VLOOKUP(X$4,'Võistluste järjestused'!$B$23:$D$33,3,0),IF($B10="SK 2",VLOOKUP(X$4,'Võistluste järjestused'!$B$38:$D$47,3,0),IF($B10="SK 3",VLOOKUP(X$4,'Võistluste järjestused'!$B$52:$D$61,3,0),"")))))</f>
      </c>
      <c r="Y10" s="44">
        <f>IF(ISNA(IF($B10="SK ALG",VLOOKUP(Y$4,'Võistluste järjestused'!$B$11:$D$18,3,0),IF($B10="SK 1",VLOOKUP(Y$4,'Võistluste järjestused'!$B$23:$D$33,3,0),IF($B10="SK 2",VLOOKUP(Y$4,'Võistluste järjestused'!$B$38:$D$47,3,0),IF($B10="SK 3",VLOOKUP(Y$4,'Võistluste järjestused'!$B$52:$D$61,3,0),""))))),"",IF($B10="SK ALG",VLOOKUP(Y$4,'Võistluste järjestused'!$B$11:$D$18,3,0),IF($B10="SK 1",VLOOKUP(Y$4,'Võistluste järjestused'!$B$23:$D$33,3,0),IF($B10="SK 2",VLOOKUP(Y$4,'Võistluste järjestused'!$B$38:$D$47,3,0),IF($B10="SK 3",VLOOKUP(Y$4,'Võistluste järjestused'!$B$52:$D$61,3,0),"")))))</f>
      </c>
      <c r="Z10" s="44">
        <f>IF(ISNA(IF($B10="SK ALG",VLOOKUP(Z$4,'Võistluste järjestused'!$B$11:$D$18,3,0),IF($B10="SK 1",VLOOKUP(Z$4,'Võistluste järjestused'!$B$23:$D$33,3,0),IF($B10="SK 2",VLOOKUP(Z$4,'Võistluste järjestused'!$B$38:$D$47,3,0),IF($B10="SK 3",VLOOKUP(Z$4,'Võistluste järjestused'!$B$52:$D$61,3,0),""))))),"",IF($B10="SK ALG",VLOOKUP(Z$4,'Võistluste järjestused'!$B$11:$D$18,3,0),IF($B10="SK 1",VLOOKUP(Z$4,'Võistluste järjestused'!$B$23:$D$33,3,0),IF($B10="SK 2",VLOOKUP(Z$4,'Võistluste järjestused'!$B$38:$D$47,3,0),IF($B10="SK 3",VLOOKUP(Z$4,'Võistluste järjestused'!$B$52:$D$61,3,0),"")))))</f>
      </c>
      <c r="AA10" s="44">
        <f>IF(ISNA(IF($B10="SK ALG",VLOOKUP(AA$4,'Võistluste järjestused'!$B$11:$D$18,3,0),IF($B10="SK 1",VLOOKUP(AA$4,'Võistluste järjestused'!$B$23:$D$33,3,0),IF($B10="SK 2",VLOOKUP(AA$4,'Võistluste järjestused'!$B$38:$D$47,3,0),IF($B10="SK 3",VLOOKUP(AA$4,'Võistluste järjestused'!$B$52:$D$61,3,0),""))))),"",IF($B10="SK ALG",VLOOKUP(AA$4,'Võistluste järjestused'!$B$11:$D$18,3,0),IF($B10="SK 1",VLOOKUP(AA$4,'Võistluste järjestused'!$B$23:$D$33,3,0),IF($B10="SK 2",VLOOKUP(AA$4,'Võistluste järjestused'!$B$38:$D$47,3,0),IF($B10="SK 3",VLOOKUP(AA$4,'Võistluste järjestused'!$B$52:$D$61,3,0),"")))))</f>
      </c>
      <c r="AB10" s="44">
        <f>IF(ISNA(IF($B10="SK ALG",VLOOKUP(AB$4,'Võistluste järjestused'!$B$11:$D$18,3,0),IF($B10="SK 1",VLOOKUP(AB$4,'Võistluste järjestused'!$B$23:$D$33,3,0),IF($B10="SK 2",VLOOKUP(AB$4,'Võistluste järjestused'!$B$38:$D$47,3,0),IF($B10="SK 3",VLOOKUP(AB$4,'Võistluste järjestused'!$B$52:$D$61,3,0),""))))),"",IF($B10="SK ALG",VLOOKUP(AB$4,'Võistluste järjestused'!$B$11:$D$18,3,0),IF($B10="SK 1",VLOOKUP(AB$4,'Võistluste järjestused'!$B$23:$D$33,3,0),IF($B10="SK 2",VLOOKUP(AB$4,'Võistluste järjestused'!$B$38:$D$47,3,0),IF($B10="SK 3",VLOOKUP(AB$4,'Võistluste järjestused'!$B$52:$D$61,3,0),"")))))</f>
      </c>
      <c r="AC10" s="44">
        <f>IF(ISNA(IF($B10="SK ALG",VLOOKUP(AC$4,'Võistluste järjestused'!$B$11:$D$18,3,0),IF($B10="SK 1",VLOOKUP(AC$4,'Võistluste järjestused'!$B$23:$D$33,3,0),IF($B10="SK 2",VLOOKUP(AC$4,'Võistluste järjestused'!$B$38:$D$47,3,0),IF($B10="SK 3",VLOOKUP(AC$4,'Võistluste järjestused'!$B$52:$D$61,3,0),""))))),"",IF($B10="SK ALG",VLOOKUP(AC$4,'Võistluste järjestused'!$B$11:$D$18,3,0),IF($B10="SK 1",VLOOKUP(AC$4,'Võistluste järjestused'!$B$23:$D$33,3,0),IF($B10="SK 2",VLOOKUP(AC$4,'Võistluste järjestused'!$B$38:$D$47,3,0),IF($B10="SK 3",VLOOKUP(AC$4,'Võistluste järjestused'!$B$52:$D$61,3,0),"")))))</f>
      </c>
      <c r="AD10" s="45"/>
      <c r="AE10" s="45"/>
      <c r="AF10" s="45"/>
      <c r="AG10" s="45"/>
      <c r="AH10" s="30">
        <f t="shared" si="6"/>
      </c>
      <c r="AI10" s="46">
        <f>IF(B10="","",IF(AH10="DSQ",0,H10*S10+I10*T10+J10*U10+K10*V10+L10*W10+M10*X10+N10*Y10+O10*Z10+P10*AA10+Q10*AB10+R10*AC10+AE10*'Võistluste järjestused'!D68))</f>
      </c>
      <c r="AJ10" s="30">
        <f>IF(B10="","",IF(AI10&gt;=VLOOKUP(B10,'Võistluste järjestused'!$F$18:$J$21,3,0),"I järk",IF(AI10&gt;=VLOOKUP(B10,'Võistluste järjestused'!$F$18:$J$21,4,0),"II järk",IF(AI10&gt;=VLOOKUP(B10,'Võistluste järjestused'!$F$18:$J$21,5,0),"III järk",0))))</f>
      </c>
      <c r="AK10" s="30">
        <f t="shared" si="0"/>
      </c>
      <c r="AL10" s="30">
        <f t="shared" si="1"/>
      </c>
      <c r="AM10" s="30">
        <f t="shared" si="2"/>
      </c>
      <c r="AN10" s="30">
        <f t="shared" si="3"/>
      </c>
      <c r="AO10" s="30">
        <f t="shared" si="4"/>
      </c>
      <c r="AP10" s="47">
        <f t="shared" si="5"/>
      </c>
      <c r="AQ10"/>
      <c r="AR10" s="37"/>
    </row>
    <row r="11" spans="1:44" s="36" customFormat="1" ht="25.5">
      <c r="A11" s="30">
        <v>7</v>
      </c>
      <c r="B11" s="40"/>
      <c r="C11" s="41"/>
      <c r="D11" s="41"/>
      <c r="E11" s="41"/>
      <c r="F11" s="40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>
        <f>IF(ISNA(IF($B11="SK ALG",VLOOKUP(S$4,'Võistluste järjestused'!$B$11:$D$18,3,0),IF($B11="SK 1",VLOOKUP(S$4,'Võistluste järjestused'!$B$23:$D$33,3,0),IF($B11="SK 2",VLOOKUP(S$4,'Võistluste järjestused'!$B$38:$D$47,3,0),IF($B11="SK 3",VLOOKUP(S$4,'Võistluste järjestused'!$B$52:$D$61,3,0),""))))),"",IF($B11="SK ALG",VLOOKUP(S$4,'Võistluste järjestused'!$B$11:$D$18,3,0),IF($B11="SK 1",VLOOKUP(S$4,'Võistluste järjestused'!$B$23:$D$33,3,0),IF($B11="SK 2",VLOOKUP(S$4,'Võistluste järjestused'!$B$38:$D$47,3,0),IF($B11="SK 3",VLOOKUP(S$4,'Võistluste järjestused'!$B$52:$D$61,3,0),"")))))</f>
      </c>
      <c r="T11" s="44">
        <f>IF(ISNA(IF($B11="SK ALG",VLOOKUP(T$4,'Võistluste järjestused'!$B$11:$D$18,3,0),IF($B11="SK 1",VLOOKUP(T$4,'Võistluste järjestused'!$B$23:$D$33,3,0),IF($B11="SK 2",VLOOKUP(T$4,'Võistluste järjestused'!$B$38:$D$47,3,0),IF($B11="SK 3",VLOOKUP(T$4,'Võistluste järjestused'!$B$52:$D$61,3,0),""))))),"",IF($B11="SK ALG",VLOOKUP(T$4,'Võistluste järjestused'!$B$11:$D$18,3,0),IF($B11="SK 1",VLOOKUP(T$4,'Võistluste järjestused'!$B$23:$D$33,3,0),IF($B11="SK 2",VLOOKUP(T$4,'Võistluste järjestused'!$B$38:$D$47,3,0),IF($B11="SK 3",VLOOKUP(T$4,'Võistluste järjestused'!$B$52:$D$61,3,0),"")))))</f>
      </c>
      <c r="U11" s="44">
        <f>IF(ISNA(IF($B11="SK ALG",VLOOKUP(U$4,'Võistluste järjestused'!$B$11:$D$18,3,0),IF($B11="SK 1",VLOOKUP(U$4,'Võistluste järjestused'!$B$23:$D$33,3,0),IF($B11="SK 2",VLOOKUP(U$4,'Võistluste järjestused'!$B$38:$D$47,3,0),IF($B11="SK 3",VLOOKUP(U$4,'Võistluste järjestused'!$B$52:$D$61,3,0),""))))),"",IF($B11="SK ALG",VLOOKUP(U$4,'Võistluste järjestused'!$B$11:$D$18,3,0),IF($B11="SK 1",VLOOKUP(U$4,'Võistluste järjestused'!$B$23:$D$33,3,0),IF($B11="SK 2",VLOOKUP(U$4,'Võistluste järjestused'!$B$38:$D$47,3,0),IF($B11="SK 3",VLOOKUP(U$4,'Võistluste järjestused'!$B$52:$D$61,3,0),"")))))</f>
      </c>
      <c r="V11" s="44">
        <f>IF(ISNA(IF($B11="SK ALG",VLOOKUP(V$4,'Võistluste järjestused'!$B$11:$D$18,3,0),IF($B11="SK 1",VLOOKUP(V$4,'Võistluste järjestused'!$B$23:$D$33,3,0),IF($B11="SK 2",VLOOKUP(V$4,'Võistluste järjestused'!$B$38:$D$47,3,0),IF($B11="SK 3",VLOOKUP(V$4,'Võistluste järjestused'!$B$52:$D$61,3,0),""))))),"",IF($B11="SK ALG",VLOOKUP(V$4,'Võistluste järjestused'!$B$11:$D$18,3,0),IF($B11="SK 1",VLOOKUP(V$4,'Võistluste järjestused'!$B$23:$D$33,3,0),IF($B11="SK 2",VLOOKUP(V$4,'Võistluste järjestused'!$B$38:$D$47,3,0),IF($B11="SK 3",VLOOKUP(V$4,'Võistluste järjestused'!$B$52:$D$61,3,0),"")))))</f>
      </c>
      <c r="W11" s="44">
        <f>IF(ISNA(IF($B11="SK ALG",VLOOKUP(W$4,'Võistluste järjestused'!$B$11:$D$18,3,0),IF($B11="SK 1",VLOOKUP(W$4,'Võistluste järjestused'!$B$23:$D$33,3,0),IF($B11="SK 2",VLOOKUP(W$4,'Võistluste järjestused'!$B$38:$D$47,3,0),IF($B11="SK 3",VLOOKUP(W$4,'Võistluste järjestused'!$B$52:$D$61,3,0),""))))),"",IF($B11="SK ALG",VLOOKUP(W$4,'Võistluste järjestused'!$B$11:$D$18,3,0),IF($B11="SK 1",VLOOKUP(W$4,'Võistluste järjestused'!$B$23:$D$33,3,0),IF($B11="SK 2",VLOOKUP(W$4,'Võistluste järjestused'!$B$38:$D$47,3,0),IF($B11="SK 3",VLOOKUP(W$4,'Võistluste järjestused'!$B$52:$D$61,3,0),"")))))</f>
      </c>
      <c r="X11" s="44">
        <f>IF(ISNA(IF($B11="SK ALG",VLOOKUP(X$4,'Võistluste järjestused'!$B$11:$D$18,3,0),IF($B11="SK 1",VLOOKUP(X$4,'Võistluste järjestused'!$B$23:$D$33,3,0),IF($B11="SK 2",VLOOKUP(X$4,'Võistluste järjestused'!$B$38:$D$47,3,0),IF($B11="SK 3",VLOOKUP(X$4,'Võistluste järjestused'!$B$52:$D$61,3,0),""))))),"",IF($B11="SK ALG",VLOOKUP(X$4,'Võistluste järjestused'!$B$11:$D$18,3,0),IF($B11="SK 1",VLOOKUP(X$4,'Võistluste järjestused'!$B$23:$D$33,3,0),IF($B11="SK 2",VLOOKUP(X$4,'Võistluste järjestused'!$B$38:$D$47,3,0),IF($B11="SK 3",VLOOKUP(X$4,'Võistluste järjestused'!$B$52:$D$61,3,0),"")))))</f>
      </c>
      <c r="Y11" s="44">
        <f>IF(ISNA(IF($B11="SK ALG",VLOOKUP(Y$4,'Võistluste järjestused'!$B$11:$D$18,3,0),IF($B11="SK 1",VLOOKUP(Y$4,'Võistluste järjestused'!$B$23:$D$33,3,0),IF($B11="SK 2",VLOOKUP(Y$4,'Võistluste järjestused'!$B$38:$D$47,3,0),IF($B11="SK 3",VLOOKUP(Y$4,'Võistluste järjestused'!$B$52:$D$61,3,0),""))))),"",IF($B11="SK ALG",VLOOKUP(Y$4,'Võistluste järjestused'!$B$11:$D$18,3,0),IF($B11="SK 1",VLOOKUP(Y$4,'Võistluste järjestused'!$B$23:$D$33,3,0),IF($B11="SK 2",VLOOKUP(Y$4,'Võistluste järjestused'!$B$38:$D$47,3,0),IF($B11="SK 3",VLOOKUP(Y$4,'Võistluste järjestused'!$B$52:$D$61,3,0),"")))))</f>
      </c>
      <c r="Z11" s="44">
        <f>IF(ISNA(IF($B11="SK ALG",VLOOKUP(Z$4,'Võistluste järjestused'!$B$11:$D$18,3,0),IF($B11="SK 1",VLOOKUP(Z$4,'Võistluste järjestused'!$B$23:$D$33,3,0),IF($B11="SK 2",VLOOKUP(Z$4,'Võistluste järjestused'!$B$38:$D$47,3,0),IF($B11="SK 3",VLOOKUP(Z$4,'Võistluste järjestused'!$B$52:$D$61,3,0),""))))),"",IF($B11="SK ALG",VLOOKUP(Z$4,'Võistluste järjestused'!$B$11:$D$18,3,0),IF($B11="SK 1",VLOOKUP(Z$4,'Võistluste järjestused'!$B$23:$D$33,3,0),IF($B11="SK 2",VLOOKUP(Z$4,'Võistluste järjestused'!$B$38:$D$47,3,0),IF($B11="SK 3",VLOOKUP(Z$4,'Võistluste järjestused'!$B$52:$D$61,3,0),"")))))</f>
      </c>
      <c r="AA11" s="44">
        <f>IF(ISNA(IF($B11="SK ALG",VLOOKUP(AA$4,'Võistluste järjestused'!$B$11:$D$18,3,0),IF($B11="SK 1",VLOOKUP(AA$4,'Võistluste järjestused'!$B$23:$D$33,3,0),IF($B11="SK 2",VLOOKUP(AA$4,'Võistluste järjestused'!$B$38:$D$47,3,0),IF($B11="SK 3",VLOOKUP(AA$4,'Võistluste järjestused'!$B$52:$D$61,3,0),""))))),"",IF($B11="SK ALG",VLOOKUP(AA$4,'Võistluste järjestused'!$B$11:$D$18,3,0),IF($B11="SK 1",VLOOKUP(AA$4,'Võistluste järjestused'!$B$23:$D$33,3,0),IF($B11="SK 2",VLOOKUP(AA$4,'Võistluste järjestused'!$B$38:$D$47,3,0),IF($B11="SK 3",VLOOKUP(AA$4,'Võistluste järjestused'!$B$52:$D$61,3,0),"")))))</f>
      </c>
      <c r="AB11" s="44">
        <f>IF(ISNA(IF($B11="SK ALG",VLOOKUP(AB$4,'Võistluste järjestused'!$B$11:$D$18,3,0),IF($B11="SK 1",VLOOKUP(AB$4,'Võistluste järjestused'!$B$23:$D$33,3,0),IF($B11="SK 2",VLOOKUP(AB$4,'Võistluste järjestused'!$B$38:$D$47,3,0),IF($B11="SK 3",VLOOKUP(AB$4,'Võistluste järjestused'!$B$52:$D$61,3,0),""))))),"",IF($B11="SK ALG",VLOOKUP(AB$4,'Võistluste järjestused'!$B$11:$D$18,3,0),IF($B11="SK 1",VLOOKUP(AB$4,'Võistluste järjestused'!$B$23:$D$33,3,0),IF($B11="SK 2",VLOOKUP(AB$4,'Võistluste järjestused'!$B$38:$D$47,3,0),IF($B11="SK 3",VLOOKUP(AB$4,'Võistluste järjestused'!$B$52:$D$61,3,0),"")))))</f>
      </c>
      <c r="AC11" s="44">
        <f>IF(ISNA(IF($B11="SK ALG",VLOOKUP(AC$4,'Võistluste järjestused'!$B$11:$D$18,3,0),IF($B11="SK 1",VLOOKUP(AC$4,'Võistluste järjestused'!$B$23:$D$33,3,0),IF($B11="SK 2",VLOOKUP(AC$4,'Võistluste järjestused'!$B$38:$D$47,3,0),IF($B11="SK 3",VLOOKUP(AC$4,'Võistluste järjestused'!$B$52:$D$61,3,0),""))))),"",IF($B11="SK ALG",VLOOKUP(AC$4,'Võistluste järjestused'!$B$11:$D$18,3,0),IF($B11="SK 1",VLOOKUP(AC$4,'Võistluste järjestused'!$B$23:$D$33,3,0),IF($B11="SK 2",VLOOKUP(AC$4,'Võistluste järjestused'!$B$38:$D$47,3,0),IF($B11="SK 3",VLOOKUP(AC$4,'Võistluste järjestused'!$B$52:$D$61,3,0),"")))))</f>
      </c>
      <c r="AD11" s="45"/>
      <c r="AE11" s="45"/>
      <c r="AF11" s="45"/>
      <c r="AG11" s="45"/>
      <c r="AH11" s="30">
        <f t="shared" si="6"/>
      </c>
      <c r="AI11" s="46">
        <f>IF(B11="","",IF(AH11="DSQ",0,H11*S11+I11*T11+J11*U11+K11*V11+L11*W11+M11*X11+N11*Y11+O11*Z11+P11*AA11+Q11*AB11+R11*AC11+AE11*'Võistluste järjestused'!D69))</f>
      </c>
      <c r="AJ11" s="30">
        <f>IF(B11="","",IF(AI11&gt;=VLOOKUP(B11,'Võistluste järjestused'!$F$18:$J$21,3,0),"I järk",IF(AI11&gt;=VLOOKUP(B11,'Võistluste järjestused'!$F$18:$J$21,4,0),"II järk",IF(AI11&gt;=VLOOKUP(B11,'Võistluste järjestused'!$F$18:$J$21,5,0),"III järk",0))))</f>
      </c>
      <c r="AK11" s="30">
        <f t="shared" si="0"/>
      </c>
      <c r="AL11" s="30">
        <f t="shared" si="1"/>
      </c>
      <c r="AM11" s="30">
        <f t="shared" si="2"/>
      </c>
      <c r="AN11" s="30">
        <f t="shared" si="3"/>
      </c>
      <c r="AO11" s="30">
        <f t="shared" si="4"/>
      </c>
      <c r="AP11" s="47">
        <f t="shared" si="5"/>
      </c>
      <c r="AQ11"/>
      <c r="AR11" s="37"/>
    </row>
    <row r="12" spans="1:44" ht="25.5">
      <c r="A12" s="30">
        <v>8</v>
      </c>
      <c r="B12" s="40"/>
      <c r="C12" s="41"/>
      <c r="D12" s="41"/>
      <c r="E12" s="41"/>
      <c r="F12" s="40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>
        <f>IF(ISNA(IF($B12="SK ALG",VLOOKUP(S$4,'Võistluste järjestused'!$B$11:$D$18,3,0),IF($B12="SK 1",VLOOKUP(S$4,'Võistluste järjestused'!$B$23:$D$33,3,0),IF($B12="SK 2",VLOOKUP(S$4,'Võistluste järjestused'!$B$38:$D$47,3,0),IF($B12="SK 3",VLOOKUP(S$4,'Võistluste järjestused'!$B$52:$D$61,3,0),""))))),"",IF($B12="SK ALG",VLOOKUP(S$4,'Võistluste järjestused'!$B$11:$D$18,3,0),IF($B12="SK 1",VLOOKUP(S$4,'Võistluste järjestused'!$B$23:$D$33,3,0),IF($B12="SK 2",VLOOKUP(S$4,'Võistluste järjestused'!$B$38:$D$47,3,0),IF($B12="SK 3",VLOOKUP(S$4,'Võistluste järjestused'!$B$52:$D$61,3,0),"")))))</f>
      </c>
      <c r="T12" s="44">
        <f>IF(ISNA(IF($B12="SK ALG",VLOOKUP(T$4,'Võistluste järjestused'!$B$11:$D$18,3,0),IF($B12="SK 1",VLOOKUP(T$4,'Võistluste järjestused'!$B$23:$D$33,3,0),IF($B12="SK 2",VLOOKUP(T$4,'Võistluste järjestused'!$B$38:$D$47,3,0),IF($B12="SK 3",VLOOKUP(T$4,'Võistluste järjestused'!$B$52:$D$61,3,0),""))))),"",IF($B12="SK ALG",VLOOKUP(T$4,'Võistluste järjestused'!$B$11:$D$18,3,0),IF($B12="SK 1",VLOOKUP(T$4,'Võistluste järjestused'!$B$23:$D$33,3,0),IF($B12="SK 2",VLOOKUP(T$4,'Võistluste järjestused'!$B$38:$D$47,3,0),IF($B12="SK 3",VLOOKUP(T$4,'Võistluste järjestused'!$B$52:$D$61,3,0),"")))))</f>
      </c>
      <c r="U12" s="44">
        <f>IF(ISNA(IF($B12="SK ALG",VLOOKUP(U$4,'Võistluste järjestused'!$B$11:$D$18,3,0),IF($B12="SK 1",VLOOKUP(U$4,'Võistluste järjestused'!$B$23:$D$33,3,0),IF($B12="SK 2",VLOOKUP(U$4,'Võistluste järjestused'!$B$38:$D$47,3,0),IF($B12="SK 3",VLOOKUP(U$4,'Võistluste järjestused'!$B$52:$D$61,3,0),""))))),"",IF($B12="SK ALG",VLOOKUP(U$4,'Võistluste järjestused'!$B$11:$D$18,3,0),IF($B12="SK 1",VLOOKUP(U$4,'Võistluste järjestused'!$B$23:$D$33,3,0),IF($B12="SK 2",VLOOKUP(U$4,'Võistluste järjestused'!$B$38:$D$47,3,0),IF($B12="SK 3",VLOOKUP(U$4,'Võistluste järjestused'!$B$52:$D$61,3,0),"")))))</f>
      </c>
      <c r="V12" s="44">
        <f>IF(ISNA(IF($B12="SK ALG",VLOOKUP(V$4,'Võistluste järjestused'!$B$11:$D$18,3,0),IF($B12="SK 1",VLOOKUP(V$4,'Võistluste järjestused'!$B$23:$D$33,3,0),IF($B12="SK 2",VLOOKUP(V$4,'Võistluste järjestused'!$B$38:$D$47,3,0),IF($B12="SK 3",VLOOKUP(V$4,'Võistluste järjestused'!$B$52:$D$61,3,0),""))))),"",IF($B12="SK ALG",VLOOKUP(V$4,'Võistluste järjestused'!$B$11:$D$18,3,0),IF($B12="SK 1",VLOOKUP(V$4,'Võistluste järjestused'!$B$23:$D$33,3,0),IF($B12="SK 2",VLOOKUP(V$4,'Võistluste järjestused'!$B$38:$D$47,3,0),IF($B12="SK 3",VLOOKUP(V$4,'Võistluste järjestused'!$B$52:$D$61,3,0),"")))))</f>
      </c>
      <c r="W12" s="44">
        <f>IF(ISNA(IF($B12="SK ALG",VLOOKUP(W$4,'Võistluste järjestused'!$B$11:$D$18,3,0),IF($B12="SK 1",VLOOKUP(W$4,'Võistluste järjestused'!$B$23:$D$33,3,0),IF($B12="SK 2",VLOOKUP(W$4,'Võistluste järjestused'!$B$38:$D$47,3,0),IF($B12="SK 3",VLOOKUP(W$4,'Võistluste järjestused'!$B$52:$D$61,3,0),""))))),"",IF($B12="SK ALG",VLOOKUP(W$4,'Võistluste järjestused'!$B$11:$D$18,3,0),IF($B12="SK 1",VLOOKUP(W$4,'Võistluste järjestused'!$B$23:$D$33,3,0),IF($B12="SK 2",VLOOKUP(W$4,'Võistluste järjestused'!$B$38:$D$47,3,0),IF($B12="SK 3",VLOOKUP(W$4,'Võistluste järjestused'!$B$52:$D$61,3,0),"")))))</f>
      </c>
      <c r="X12" s="44">
        <f>IF(ISNA(IF($B12="SK ALG",VLOOKUP(X$4,'Võistluste järjestused'!$B$11:$D$18,3,0),IF($B12="SK 1",VLOOKUP(X$4,'Võistluste järjestused'!$B$23:$D$33,3,0),IF($B12="SK 2",VLOOKUP(X$4,'Võistluste järjestused'!$B$38:$D$47,3,0),IF($B12="SK 3",VLOOKUP(X$4,'Võistluste järjestused'!$B$52:$D$61,3,0),""))))),"",IF($B12="SK ALG",VLOOKUP(X$4,'Võistluste järjestused'!$B$11:$D$18,3,0),IF($B12="SK 1",VLOOKUP(X$4,'Võistluste järjestused'!$B$23:$D$33,3,0),IF($B12="SK 2",VLOOKUP(X$4,'Võistluste järjestused'!$B$38:$D$47,3,0),IF($B12="SK 3",VLOOKUP(X$4,'Võistluste järjestused'!$B$52:$D$61,3,0),"")))))</f>
      </c>
      <c r="Y12" s="44">
        <f>IF(ISNA(IF($B12="SK ALG",VLOOKUP(Y$4,'Võistluste järjestused'!$B$11:$D$18,3,0),IF($B12="SK 1",VLOOKUP(Y$4,'Võistluste järjestused'!$B$23:$D$33,3,0),IF($B12="SK 2",VLOOKUP(Y$4,'Võistluste järjestused'!$B$38:$D$47,3,0),IF($B12="SK 3",VLOOKUP(Y$4,'Võistluste järjestused'!$B$52:$D$61,3,0),""))))),"",IF($B12="SK ALG",VLOOKUP(Y$4,'Võistluste järjestused'!$B$11:$D$18,3,0),IF($B12="SK 1",VLOOKUP(Y$4,'Võistluste järjestused'!$B$23:$D$33,3,0),IF($B12="SK 2",VLOOKUP(Y$4,'Võistluste järjestused'!$B$38:$D$47,3,0),IF($B12="SK 3",VLOOKUP(Y$4,'Võistluste järjestused'!$B$52:$D$61,3,0),"")))))</f>
      </c>
      <c r="Z12" s="44">
        <f>IF(ISNA(IF($B12="SK ALG",VLOOKUP(Z$4,'Võistluste järjestused'!$B$11:$D$18,3,0),IF($B12="SK 1",VLOOKUP(Z$4,'Võistluste järjestused'!$B$23:$D$33,3,0),IF($B12="SK 2",VLOOKUP(Z$4,'Võistluste järjestused'!$B$38:$D$47,3,0),IF($B12="SK 3",VLOOKUP(Z$4,'Võistluste järjestused'!$B$52:$D$61,3,0),""))))),"",IF($B12="SK ALG",VLOOKUP(Z$4,'Võistluste järjestused'!$B$11:$D$18,3,0),IF($B12="SK 1",VLOOKUP(Z$4,'Võistluste järjestused'!$B$23:$D$33,3,0),IF($B12="SK 2",VLOOKUP(Z$4,'Võistluste järjestused'!$B$38:$D$47,3,0),IF($B12="SK 3",VLOOKUP(Z$4,'Võistluste järjestused'!$B$52:$D$61,3,0),"")))))</f>
      </c>
      <c r="AA12" s="44">
        <f>IF(ISNA(IF($B12="SK ALG",VLOOKUP(AA$4,'Võistluste järjestused'!$B$11:$D$18,3,0),IF($B12="SK 1",VLOOKUP(AA$4,'Võistluste järjestused'!$B$23:$D$33,3,0),IF($B12="SK 2",VLOOKUP(AA$4,'Võistluste järjestused'!$B$38:$D$47,3,0),IF($B12="SK 3",VLOOKUP(AA$4,'Võistluste järjestused'!$B$52:$D$61,3,0),""))))),"",IF($B12="SK ALG",VLOOKUP(AA$4,'Võistluste järjestused'!$B$11:$D$18,3,0),IF($B12="SK 1",VLOOKUP(AA$4,'Võistluste järjestused'!$B$23:$D$33,3,0),IF($B12="SK 2",VLOOKUP(AA$4,'Võistluste järjestused'!$B$38:$D$47,3,0),IF($B12="SK 3",VLOOKUP(AA$4,'Võistluste järjestused'!$B$52:$D$61,3,0),"")))))</f>
      </c>
      <c r="AB12" s="44">
        <f>IF(ISNA(IF($B12="SK ALG",VLOOKUP(AB$4,'Võistluste järjestused'!$B$11:$D$18,3,0),IF($B12="SK 1",VLOOKUP(AB$4,'Võistluste järjestused'!$B$23:$D$33,3,0),IF($B12="SK 2",VLOOKUP(AB$4,'Võistluste järjestused'!$B$38:$D$47,3,0),IF($B12="SK 3",VLOOKUP(AB$4,'Võistluste järjestused'!$B$52:$D$61,3,0),""))))),"",IF($B12="SK ALG",VLOOKUP(AB$4,'Võistluste järjestused'!$B$11:$D$18,3,0),IF($B12="SK 1",VLOOKUP(AB$4,'Võistluste järjestused'!$B$23:$D$33,3,0),IF($B12="SK 2",VLOOKUP(AB$4,'Võistluste järjestused'!$B$38:$D$47,3,0),IF($B12="SK 3",VLOOKUP(AB$4,'Võistluste järjestused'!$B$52:$D$61,3,0),"")))))</f>
      </c>
      <c r="AC12" s="44">
        <f>IF(ISNA(IF($B12="SK ALG",VLOOKUP(AC$4,'Võistluste järjestused'!$B$11:$D$18,3,0),IF($B12="SK 1",VLOOKUP(AC$4,'Võistluste järjestused'!$B$23:$D$33,3,0),IF($B12="SK 2",VLOOKUP(AC$4,'Võistluste järjestused'!$B$38:$D$47,3,0),IF($B12="SK 3",VLOOKUP(AC$4,'Võistluste järjestused'!$B$52:$D$61,3,0),""))))),"",IF($B12="SK ALG",VLOOKUP(AC$4,'Võistluste järjestused'!$B$11:$D$18,3,0),IF($B12="SK 1",VLOOKUP(AC$4,'Võistluste järjestused'!$B$23:$D$33,3,0),IF($B12="SK 2",VLOOKUP(AC$4,'Võistluste järjestused'!$B$38:$D$47,3,0),IF($B12="SK 3",VLOOKUP(AC$4,'Võistluste järjestused'!$B$52:$D$61,3,0),"")))))</f>
      </c>
      <c r="AD12" s="45"/>
      <c r="AE12" s="45"/>
      <c r="AF12" s="45"/>
      <c r="AG12" s="45"/>
      <c r="AH12" s="30">
        <f t="shared" si="6"/>
      </c>
      <c r="AI12" s="46">
        <f>IF(B12="","",IF(AH12="DSQ",0,H12*S12+I12*T12+J12*U12+K12*V12+L12*W12+M12*X12+N12*Y12+O12*Z12+P12*AA12+Q12*AB12+R12*AC12+AE12*'Võistluste järjestused'!D70))</f>
      </c>
      <c r="AJ12" s="30">
        <f>IF(B12="","",IF(AI12&gt;=VLOOKUP(B12,'Võistluste järjestused'!$F$18:$J$21,3,0),"I järk",IF(AI12&gt;=VLOOKUP(B12,'Võistluste järjestused'!$F$18:$J$21,4,0),"II järk",IF(AI12&gt;=VLOOKUP(B12,'Võistluste järjestused'!$F$18:$J$21,5,0),"III järk",0))))</f>
      </c>
      <c r="AK12" s="30">
        <f t="shared" si="0"/>
      </c>
      <c r="AL12" s="30">
        <f t="shared" si="1"/>
      </c>
      <c r="AM12" s="30">
        <f t="shared" si="2"/>
      </c>
      <c r="AN12" s="30">
        <f t="shared" si="3"/>
      </c>
      <c r="AO12" s="30">
        <f t="shared" si="4"/>
      </c>
      <c r="AP12" s="47">
        <f t="shared" si="5"/>
      </c>
      <c r="AR12" s="37"/>
    </row>
    <row r="13" spans="1:44" ht="25.5">
      <c r="A13" s="30">
        <v>9</v>
      </c>
      <c r="B13" s="40"/>
      <c r="C13" s="41"/>
      <c r="D13" s="41"/>
      <c r="E13" s="41"/>
      <c r="F13" s="40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>
        <f>IF(ISNA(IF($B13="SK ALG",VLOOKUP(S$4,'Võistluste järjestused'!$B$11:$D$18,3,0),IF($B13="SK 1",VLOOKUP(S$4,'Võistluste järjestused'!$B$23:$D$33,3,0),IF($B13="SK 2",VLOOKUP(S$4,'Võistluste järjestused'!$B$38:$D$47,3,0),IF($B13="SK 3",VLOOKUP(S$4,'Võistluste järjestused'!$B$52:$D$61,3,0),""))))),"",IF($B13="SK ALG",VLOOKUP(S$4,'Võistluste järjestused'!$B$11:$D$18,3,0),IF($B13="SK 1",VLOOKUP(S$4,'Võistluste järjestused'!$B$23:$D$33,3,0),IF($B13="SK 2",VLOOKUP(S$4,'Võistluste järjestused'!$B$38:$D$47,3,0),IF($B13="SK 3",VLOOKUP(S$4,'Võistluste järjestused'!$B$52:$D$61,3,0),"")))))</f>
      </c>
      <c r="T13" s="44">
        <f>IF(ISNA(IF($B13="SK ALG",VLOOKUP(T$4,'Võistluste järjestused'!$B$11:$D$18,3,0),IF($B13="SK 1",VLOOKUP(T$4,'Võistluste järjestused'!$B$23:$D$33,3,0),IF($B13="SK 2",VLOOKUP(T$4,'Võistluste järjestused'!$B$38:$D$47,3,0),IF($B13="SK 3",VLOOKUP(T$4,'Võistluste järjestused'!$B$52:$D$61,3,0),""))))),"",IF($B13="SK ALG",VLOOKUP(T$4,'Võistluste järjestused'!$B$11:$D$18,3,0),IF($B13="SK 1",VLOOKUP(T$4,'Võistluste järjestused'!$B$23:$D$33,3,0),IF($B13="SK 2",VLOOKUP(T$4,'Võistluste järjestused'!$B$38:$D$47,3,0),IF($B13="SK 3",VLOOKUP(T$4,'Võistluste järjestused'!$B$52:$D$61,3,0),"")))))</f>
      </c>
      <c r="U13" s="44">
        <f>IF(ISNA(IF($B13="SK ALG",VLOOKUP(U$4,'Võistluste järjestused'!$B$11:$D$18,3,0),IF($B13="SK 1",VLOOKUP(U$4,'Võistluste järjestused'!$B$23:$D$33,3,0),IF($B13="SK 2",VLOOKUP(U$4,'Võistluste järjestused'!$B$38:$D$47,3,0),IF($B13="SK 3",VLOOKUP(U$4,'Võistluste järjestused'!$B$52:$D$61,3,0),""))))),"",IF($B13="SK ALG",VLOOKUP(U$4,'Võistluste järjestused'!$B$11:$D$18,3,0),IF($B13="SK 1",VLOOKUP(U$4,'Võistluste järjestused'!$B$23:$D$33,3,0),IF($B13="SK 2",VLOOKUP(U$4,'Võistluste järjestused'!$B$38:$D$47,3,0),IF($B13="SK 3",VLOOKUP(U$4,'Võistluste järjestused'!$B$52:$D$61,3,0),"")))))</f>
      </c>
      <c r="V13" s="44">
        <f>IF(ISNA(IF($B13="SK ALG",VLOOKUP(V$4,'Võistluste järjestused'!$B$11:$D$18,3,0),IF($B13="SK 1",VLOOKUP(V$4,'Võistluste järjestused'!$B$23:$D$33,3,0),IF($B13="SK 2",VLOOKUP(V$4,'Võistluste järjestused'!$B$38:$D$47,3,0),IF($B13="SK 3",VLOOKUP(V$4,'Võistluste järjestused'!$B$52:$D$61,3,0),""))))),"",IF($B13="SK ALG",VLOOKUP(V$4,'Võistluste järjestused'!$B$11:$D$18,3,0),IF($B13="SK 1",VLOOKUP(V$4,'Võistluste järjestused'!$B$23:$D$33,3,0),IF($B13="SK 2",VLOOKUP(V$4,'Võistluste järjestused'!$B$38:$D$47,3,0),IF($B13="SK 3",VLOOKUP(V$4,'Võistluste järjestused'!$B$52:$D$61,3,0),"")))))</f>
      </c>
      <c r="W13" s="44">
        <f>IF(ISNA(IF($B13="SK ALG",VLOOKUP(W$4,'Võistluste järjestused'!$B$11:$D$18,3,0),IF($B13="SK 1",VLOOKUP(W$4,'Võistluste järjestused'!$B$23:$D$33,3,0),IF($B13="SK 2",VLOOKUP(W$4,'Võistluste järjestused'!$B$38:$D$47,3,0),IF($B13="SK 3",VLOOKUP(W$4,'Võistluste järjestused'!$B$52:$D$61,3,0),""))))),"",IF($B13="SK ALG",VLOOKUP(W$4,'Võistluste järjestused'!$B$11:$D$18,3,0),IF($B13="SK 1",VLOOKUP(W$4,'Võistluste järjestused'!$B$23:$D$33,3,0),IF($B13="SK 2",VLOOKUP(W$4,'Võistluste järjestused'!$B$38:$D$47,3,0),IF($B13="SK 3",VLOOKUP(W$4,'Võistluste järjestused'!$B$52:$D$61,3,0),"")))))</f>
      </c>
      <c r="X13" s="44">
        <f>IF(ISNA(IF($B13="SK ALG",VLOOKUP(X$4,'Võistluste järjestused'!$B$11:$D$18,3,0),IF($B13="SK 1",VLOOKUP(X$4,'Võistluste järjestused'!$B$23:$D$33,3,0),IF($B13="SK 2",VLOOKUP(X$4,'Võistluste järjestused'!$B$38:$D$47,3,0),IF($B13="SK 3",VLOOKUP(X$4,'Võistluste järjestused'!$B$52:$D$61,3,0),""))))),"",IF($B13="SK ALG",VLOOKUP(X$4,'Võistluste järjestused'!$B$11:$D$18,3,0),IF($B13="SK 1",VLOOKUP(X$4,'Võistluste järjestused'!$B$23:$D$33,3,0),IF($B13="SK 2",VLOOKUP(X$4,'Võistluste järjestused'!$B$38:$D$47,3,0),IF($B13="SK 3",VLOOKUP(X$4,'Võistluste järjestused'!$B$52:$D$61,3,0),"")))))</f>
      </c>
      <c r="Y13" s="44">
        <f>IF(ISNA(IF($B13="SK ALG",VLOOKUP(Y$4,'Võistluste järjestused'!$B$11:$D$18,3,0),IF($B13="SK 1",VLOOKUP(Y$4,'Võistluste järjestused'!$B$23:$D$33,3,0),IF($B13="SK 2",VLOOKUP(Y$4,'Võistluste järjestused'!$B$38:$D$47,3,0),IF($B13="SK 3",VLOOKUP(Y$4,'Võistluste järjestused'!$B$52:$D$61,3,0),""))))),"",IF($B13="SK ALG",VLOOKUP(Y$4,'Võistluste järjestused'!$B$11:$D$18,3,0),IF($B13="SK 1",VLOOKUP(Y$4,'Võistluste järjestused'!$B$23:$D$33,3,0),IF($B13="SK 2",VLOOKUP(Y$4,'Võistluste järjestused'!$B$38:$D$47,3,0),IF($B13="SK 3",VLOOKUP(Y$4,'Võistluste järjestused'!$B$52:$D$61,3,0),"")))))</f>
      </c>
      <c r="Z13" s="44">
        <f>IF(ISNA(IF($B13="SK ALG",VLOOKUP(Z$4,'Võistluste järjestused'!$B$11:$D$18,3,0),IF($B13="SK 1",VLOOKUP(Z$4,'Võistluste järjestused'!$B$23:$D$33,3,0),IF($B13="SK 2",VLOOKUP(Z$4,'Võistluste järjestused'!$B$38:$D$47,3,0),IF($B13="SK 3",VLOOKUP(Z$4,'Võistluste järjestused'!$B$52:$D$61,3,0),""))))),"",IF($B13="SK ALG",VLOOKUP(Z$4,'Võistluste järjestused'!$B$11:$D$18,3,0),IF($B13="SK 1",VLOOKUP(Z$4,'Võistluste järjestused'!$B$23:$D$33,3,0),IF($B13="SK 2",VLOOKUP(Z$4,'Võistluste järjestused'!$B$38:$D$47,3,0),IF($B13="SK 3",VLOOKUP(Z$4,'Võistluste järjestused'!$B$52:$D$61,3,0),"")))))</f>
      </c>
      <c r="AA13" s="44">
        <f>IF(ISNA(IF($B13="SK ALG",VLOOKUP(AA$4,'Võistluste järjestused'!$B$11:$D$18,3,0),IF($B13="SK 1",VLOOKUP(AA$4,'Võistluste järjestused'!$B$23:$D$33,3,0),IF($B13="SK 2",VLOOKUP(AA$4,'Võistluste järjestused'!$B$38:$D$47,3,0),IF($B13="SK 3",VLOOKUP(AA$4,'Võistluste järjestused'!$B$52:$D$61,3,0),""))))),"",IF($B13="SK ALG",VLOOKUP(AA$4,'Võistluste järjestused'!$B$11:$D$18,3,0),IF($B13="SK 1",VLOOKUP(AA$4,'Võistluste järjestused'!$B$23:$D$33,3,0),IF($B13="SK 2",VLOOKUP(AA$4,'Võistluste järjestused'!$B$38:$D$47,3,0),IF($B13="SK 3",VLOOKUP(AA$4,'Võistluste järjestused'!$B$52:$D$61,3,0),"")))))</f>
      </c>
      <c r="AB13" s="44">
        <f>IF(ISNA(IF($B13="SK ALG",VLOOKUP(AB$4,'Võistluste järjestused'!$B$11:$D$18,3,0),IF($B13="SK 1",VLOOKUP(AB$4,'Võistluste järjestused'!$B$23:$D$33,3,0),IF($B13="SK 2",VLOOKUP(AB$4,'Võistluste järjestused'!$B$38:$D$47,3,0),IF($B13="SK 3",VLOOKUP(AB$4,'Võistluste järjestused'!$B$52:$D$61,3,0),""))))),"",IF($B13="SK ALG",VLOOKUP(AB$4,'Võistluste järjestused'!$B$11:$D$18,3,0),IF($B13="SK 1",VLOOKUP(AB$4,'Võistluste järjestused'!$B$23:$D$33,3,0),IF($B13="SK 2",VLOOKUP(AB$4,'Võistluste järjestused'!$B$38:$D$47,3,0),IF($B13="SK 3",VLOOKUP(AB$4,'Võistluste järjestused'!$B$52:$D$61,3,0),"")))))</f>
      </c>
      <c r="AC13" s="44">
        <f>IF(ISNA(IF($B13="SK ALG",VLOOKUP(AC$4,'Võistluste järjestused'!$B$11:$D$18,3,0),IF($B13="SK 1",VLOOKUP(AC$4,'Võistluste järjestused'!$B$23:$D$33,3,0),IF($B13="SK 2",VLOOKUP(AC$4,'Võistluste järjestused'!$B$38:$D$47,3,0),IF($B13="SK 3",VLOOKUP(AC$4,'Võistluste järjestused'!$B$52:$D$61,3,0),""))))),"",IF($B13="SK ALG",VLOOKUP(AC$4,'Võistluste järjestused'!$B$11:$D$18,3,0),IF($B13="SK 1",VLOOKUP(AC$4,'Võistluste järjestused'!$B$23:$D$33,3,0),IF($B13="SK 2",VLOOKUP(AC$4,'Võistluste järjestused'!$B$38:$D$47,3,0),IF($B13="SK 3",VLOOKUP(AC$4,'Võistluste järjestused'!$B$52:$D$61,3,0),"")))))</f>
      </c>
      <c r="AD13" s="45"/>
      <c r="AE13" s="45"/>
      <c r="AF13" s="45"/>
      <c r="AG13" s="45"/>
      <c r="AH13" s="30">
        <f t="shared" si="6"/>
      </c>
      <c r="AI13" s="46">
        <f>IF(B13="","",IF(AH13="DSQ",0,H13*S13+I13*T13+J13*U13+K13*V13+L13*W13+M13*X13+N13*Y13+O13*Z13+P13*AA13+Q13*AB13+R13*AC13+AE13*'Võistluste järjestused'!D71))</f>
      </c>
      <c r="AJ13" s="30">
        <f>IF(B13="","",IF(AI13&gt;=VLOOKUP(B13,'Võistluste järjestused'!$F$18:$J$21,3,0),"I järk",IF(AI13&gt;=VLOOKUP(B13,'Võistluste järjestused'!$F$18:$J$21,4,0),"II järk",IF(AI13&gt;=VLOOKUP(B13,'Võistluste järjestused'!$F$18:$J$21,5,0),"III järk",0))))</f>
      </c>
      <c r="AK13" s="30">
        <f t="shared" si="0"/>
      </c>
      <c r="AL13" s="30">
        <f t="shared" si="1"/>
      </c>
      <c r="AM13" s="30">
        <f t="shared" si="2"/>
      </c>
      <c r="AN13" s="30">
        <f t="shared" si="3"/>
      </c>
      <c r="AO13" s="30">
        <f t="shared" si="4"/>
      </c>
      <c r="AP13" s="47">
        <f t="shared" si="5"/>
      </c>
      <c r="AR13" s="37"/>
    </row>
    <row r="14" spans="1:44" ht="25.5">
      <c r="A14" s="30">
        <v>10</v>
      </c>
      <c r="B14" s="40"/>
      <c r="C14" s="41"/>
      <c r="D14" s="41"/>
      <c r="E14" s="41"/>
      <c r="F14" s="40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>
        <f>IF(ISNA(IF($B14="SK ALG",VLOOKUP(S$4,'Võistluste järjestused'!$B$11:$D$18,3,0),IF($B14="SK 1",VLOOKUP(S$4,'Võistluste järjestused'!$B$23:$D$33,3,0),IF($B14="SK 2",VLOOKUP(S$4,'Võistluste järjestused'!$B$38:$D$47,3,0),IF($B14="SK 3",VLOOKUP(S$4,'Võistluste järjestused'!$B$52:$D$61,3,0),""))))),"",IF($B14="SK ALG",VLOOKUP(S$4,'Võistluste järjestused'!$B$11:$D$18,3,0),IF($B14="SK 1",VLOOKUP(S$4,'Võistluste järjestused'!$B$23:$D$33,3,0),IF($B14="SK 2",VLOOKUP(S$4,'Võistluste järjestused'!$B$38:$D$47,3,0),IF($B14="SK 3",VLOOKUP(S$4,'Võistluste järjestused'!$B$52:$D$61,3,0),"")))))</f>
      </c>
      <c r="T14" s="44">
        <f>IF(ISNA(IF($B14="SK ALG",VLOOKUP(T$4,'Võistluste järjestused'!$B$11:$D$18,3,0),IF($B14="SK 1",VLOOKUP(T$4,'Võistluste järjestused'!$B$23:$D$33,3,0),IF($B14="SK 2",VLOOKUP(T$4,'Võistluste järjestused'!$B$38:$D$47,3,0),IF($B14="SK 3",VLOOKUP(T$4,'Võistluste järjestused'!$B$52:$D$61,3,0),""))))),"",IF($B14="SK ALG",VLOOKUP(T$4,'Võistluste järjestused'!$B$11:$D$18,3,0),IF($B14="SK 1",VLOOKUP(T$4,'Võistluste järjestused'!$B$23:$D$33,3,0),IF($B14="SK 2",VLOOKUP(T$4,'Võistluste järjestused'!$B$38:$D$47,3,0),IF($B14="SK 3",VLOOKUP(T$4,'Võistluste järjestused'!$B$52:$D$61,3,0),"")))))</f>
      </c>
      <c r="U14" s="44">
        <f>IF(ISNA(IF($B14="SK ALG",VLOOKUP(U$4,'Võistluste järjestused'!$B$11:$D$18,3,0),IF($B14="SK 1",VLOOKUP(U$4,'Võistluste järjestused'!$B$23:$D$33,3,0),IF($B14="SK 2",VLOOKUP(U$4,'Võistluste järjestused'!$B$38:$D$47,3,0),IF($B14="SK 3",VLOOKUP(U$4,'Võistluste järjestused'!$B$52:$D$61,3,0),""))))),"",IF($B14="SK ALG",VLOOKUP(U$4,'Võistluste järjestused'!$B$11:$D$18,3,0),IF($B14="SK 1",VLOOKUP(U$4,'Võistluste järjestused'!$B$23:$D$33,3,0),IF($B14="SK 2",VLOOKUP(U$4,'Võistluste järjestused'!$B$38:$D$47,3,0),IF($B14="SK 3",VLOOKUP(U$4,'Võistluste järjestused'!$B$52:$D$61,3,0),"")))))</f>
      </c>
      <c r="V14" s="44">
        <f>IF(ISNA(IF($B14="SK ALG",VLOOKUP(V$4,'Võistluste järjestused'!$B$11:$D$18,3,0),IF($B14="SK 1",VLOOKUP(V$4,'Võistluste järjestused'!$B$23:$D$33,3,0),IF($B14="SK 2",VLOOKUP(V$4,'Võistluste järjestused'!$B$38:$D$47,3,0),IF($B14="SK 3",VLOOKUP(V$4,'Võistluste järjestused'!$B$52:$D$61,3,0),""))))),"",IF($B14="SK ALG",VLOOKUP(V$4,'Võistluste järjestused'!$B$11:$D$18,3,0),IF($B14="SK 1",VLOOKUP(V$4,'Võistluste järjestused'!$B$23:$D$33,3,0),IF($B14="SK 2",VLOOKUP(V$4,'Võistluste järjestused'!$B$38:$D$47,3,0),IF($B14="SK 3",VLOOKUP(V$4,'Võistluste järjestused'!$B$52:$D$61,3,0),"")))))</f>
      </c>
      <c r="W14" s="44">
        <f>IF(ISNA(IF($B14="SK ALG",VLOOKUP(W$4,'Võistluste järjestused'!$B$11:$D$18,3,0),IF($B14="SK 1",VLOOKUP(W$4,'Võistluste järjestused'!$B$23:$D$33,3,0),IF($B14="SK 2",VLOOKUP(W$4,'Võistluste järjestused'!$B$38:$D$47,3,0),IF($B14="SK 3",VLOOKUP(W$4,'Võistluste järjestused'!$B$52:$D$61,3,0),""))))),"",IF($B14="SK ALG",VLOOKUP(W$4,'Võistluste järjestused'!$B$11:$D$18,3,0),IF($B14="SK 1",VLOOKUP(W$4,'Võistluste järjestused'!$B$23:$D$33,3,0),IF($B14="SK 2",VLOOKUP(W$4,'Võistluste järjestused'!$B$38:$D$47,3,0),IF($B14="SK 3",VLOOKUP(W$4,'Võistluste järjestused'!$B$52:$D$61,3,0),"")))))</f>
      </c>
      <c r="X14" s="44">
        <f>IF(ISNA(IF($B14="SK ALG",VLOOKUP(X$4,'Võistluste järjestused'!$B$11:$D$18,3,0),IF($B14="SK 1",VLOOKUP(X$4,'Võistluste järjestused'!$B$23:$D$33,3,0),IF($B14="SK 2",VLOOKUP(X$4,'Võistluste järjestused'!$B$38:$D$47,3,0),IF($B14="SK 3",VLOOKUP(X$4,'Võistluste järjestused'!$B$52:$D$61,3,0),""))))),"",IF($B14="SK ALG",VLOOKUP(X$4,'Võistluste järjestused'!$B$11:$D$18,3,0),IF($B14="SK 1",VLOOKUP(X$4,'Võistluste järjestused'!$B$23:$D$33,3,0),IF($B14="SK 2",VLOOKUP(X$4,'Võistluste järjestused'!$B$38:$D$47,3,0),IF($B14="SK 3",VLOOKUP(X$4,'Võistluste järjestused'!$B$52:$D$61,3,0),"")))))</f>
      </c>
      <c r="Y14" s="44">
        <f>IF(ISNA(IF($B14="SK ALG",VLOOKUP(Y$4,'Võistluste järjestused'!$B$11:$D$18,3,0),IF($B14="SK 1",VLOOKUP(Y$4,'Võistluste järjestused'!$B$23:$D$33,3,0),IF($B14="SK 2",VLOOKUP(Y$4,'Võistluste järjestused'!$B$38:$D$47,3,0),IF($B14="SK 3",VLOOKUP(Y$4,'Võistluste järjestused'!$B$52:$D$61,3,0),""))))),"",IF($B14="SK ALG",VLOOKUP(Y$4,'Võistluste järjestused'!$B$11:$D$18,3,0),IF($B14="SK 1",VLOOKUP(Y$4,'Võistluste järjestused'!$B$23:$D$33,3,0),IF($B14="SK 2",VLOOKUP(Y$4,'Võistluste järjestused'!$B$38:$D$47,3,0),IF($B14="SK 3",VLOOKUP(Y$4,'Võistluste järjestused'!$B$52:$D$61,3,0),"")))))</f>
      </c>
      <c r="Z14" s="44">
        <f>IF(ISNA(IF($B14="SK ALG",VLOOKUP(Z$4,'Võistluste järjestused'!$B$11:$D$18,3,0),IF($B14="SK 1",VLOOKUP(Z$4,'Võistluste järjestused'!$B$23:$D$33,3,0),IF($B14="SK 2",VLOOKUP(Z$4,'Võistluste järjestused'!$B$38:$D$47,3,0),IF($B14="SK 3",VLOOKUP(Z$4,'Võistluste järjestused'!$B$52:$D$61,3,0),""))))),"",IF($B14="SK ALG",VLOOKUP(Z$4,'Võistluste järjestused'!$B$11:$D$18,3,0),IF($B14="SK 1",VLOOKUP(Z$4,'Võistluste järjestused'!$B$23:$D$33,3,0),IF($B14="SK 2",VLOOKUP(Z$4,'Võistluste järjestused'!$B$38:$D$47,3,0),IF($B14="SK 3",VLOOKUP(Z$4,'Võistluste järjestused'!$B$52:$D$61,3,0),"")))))</f>
      </c>
      <c r="AA14" s="44">
        <f>IF(ISNA(IF($B14="SK ALG",VLOOKUP(AA$4,'Võistluste järjestused'!$B$11:$D$18,3,0),IF($B14="SK 1",VLOOKUP(AA$4,'Võistluste järjestused'!$B$23:$D$33,3,0),IF($B14="SK 2",VLOOKUP(AA$4,'Võistluste järjestused'!$B$38:$D$47,3,0),IF($B14="SK 3",VLOOKUP(AA$4,'Võistluste järjestused'!$B$52:$D$61,3,0),""))))),"",IF($B14="SK ALG",VLOOKUP(AA$4,'Võistluste järjestused'!$B$11:$D$18,3,0),IF($B14="SK 1",VLOOKUP(AA$4,'Võistluste järjestused'!$B$23:$D$33,3,0),IF($B14="SK 2",VLOOKUP(AA$4,'Võistluste järjestused'!$B$38:$D$47,3,0),IF($B14="SK 3",VLOOKUP(AA$4,'Võistluste järjestused'!$B$52:$D$61,3,0),"")))))</f>
      </c>
      <c r="AB14" s="44">
        <f>IF(ISNA(IF($B14="SK ALG",VLOOKUP(AB$4,'Võistluste järjestused'!$B$11:$D$18,3,0),IF($B14="SK 1",VLOOKUP(AB$4,'Võistluste järjestused'!$B$23:$D$33,3,0),IF($B14="SK 2",VLOOKUP(AB$4,'Võistluste järjestused'!$B$38:$D$47,3,0),IF($B14="SK 3",VLOOKUP(AB$4,'Võistluste järjestused'!$B$52:$D$61,3,0),""))))),"",IF($B14="SK ALG",VLOOKUP(AB$4,'Võistluste järjestused'!$B$11:$D$18,3,0),IF($B14="SK 1",VLOOKUP(AB$4,'Võistluste järjestused'!$B$23:$D$33,3,0),IF($B14="SK 2",VLOOKUP(AB$4,'Võistluste järjestused'!$B$38:$D$47,3,0),IF($B14="SK 3",VLOOKUP(AB$4,'Võistluste järjestused'!$B$52:$D$61,3,0),"")))))</f>
      </c>
      <c r="AC14" s="44">
        <f>IF(ISNA(IF($B14="SK ALG",VLOOKUP(AC$4,'Võistluste järjestused'!$B$11:$D$18,3,0),IF($B14="SK 1",VLOOKUP(AC$4,'Võistluste järjestused'!$B$23:$D$33,3,0),IF($B14="SK 2",VLOOKUP(AC$4,'Võistluste järjestused'!$B$38:$D$47,3,0),IF($B14="SK 3",VLOOKUP(AC$4,'Võistluste järjestused'!$B$52:$D$61,3,0),""))))),"",IF($B14="SK ALG",VLOOKUP(AC$4,'Võistluste järjestused'!$B$11:$D$18,3,0),IF($B14="SK 1",VLOOKUP(AC$4,'Võistluste järjestused'!$B$23:$D$33,3,0),IF($B14="SK 2",VLOOKUP(AC$4,'Võistluste järjestused'!$B$38:$D$47,3,0),IF($B14="SK 3",VLOOKUP(AC$4,'Võistluste järjestused'!$B$52:$D$61,3,0),"")))))</f>
      </c>
      <c r="AD14" s="45"/>
      <c r="AE14" s="45"/>
      <c r="AF14" s="45"/>
      <c r="AG14" s="45"/>
      <c r="AH14" s="30">
        <f t="shared" si="6"/>
      </c>
      <c r="AI14" s="46">
        <f>IF(B14="","",IF(AH14="DSQ",0,H14*S14+I14*T14+J14*U14+K14*V14+L14*W14+M14*X14+N14*Y14+O14*Z14+P14*AA14+Q14*AB14+R14*AC14+AE14*'Võistluste järjestused'!D72))</f>
      </c>
      <c r="AJ14" s="30">
        <f>IF(B14="","",IF(AI14&gt;=VLOOKUP(B14,'Võistluste järjestused'!$F$18:$J$21,3,0),"I järk",IF(AI14&gt;=VLOOKUP(B14,'Võistluste järjestused'!$F$18:$J$21,4,0),"II järk",IF(AI14&gt;=VLOOKUP(B14,'Võistluste järjestused'!$F$18:$J$21,5,0),"III järk",0))))</f>
      </c>
      <c r="AK14" s="30">
        <f t="shared" si="0"/>
      </c>
      <c r="AL14" s="30">
        <f t="shared" si="1"/>
      </c>
      <c r="AM14" s="30">
        <f t="shared" si="2"/>
      </c>
      <c r="AN14" s="30">
        <f t="shared" si="3"/>
      </c>
      <c r="AO14" s="30">
        <f t="shared" si="4"/>
      </c>
      <c r="AP14" s="47">
        <f t="shared" si="5"/>
      </c>
      <c r="AR14" s="37"/>
    </row>
    <row r="15" spans="1:44" ht="25.5">
      <c r="A15" s="30">
        <v>11</v>
      </c>
      <c r="B15" s="40"/>
      <c r="C15" s="41"/>
      <c r="D15" s="41"/>
      <c r="E15" s="41"/>
      <c r="F15" s="40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>
        <f>IF(ISNA(IF($B15="SK ALG",VLOOKUP(S$4,'Võistluste järjestused'!$B$11:$D$18,3,0),IF($B15="SK 1",VLOOKUP(S$4,'Võistluste järjestused'!$B$23:$D$33,3,0),IF($B15="SK 2",VLOOKUP(S$4,'Võistluste järjestused'!$B$38:$D$47,3,0),IF($B15="SK 3",VLOOKUP(S$4,'Võistluste järjestused'!$B$52:$D$61,3,0),""))))),"",IF($B15="SK ALG",VLOOKUP(S$4,'Võistluste järjestused'!$B$11:$D$18,3,0),IF($B15="SK 1",VLOOKUP(S$4,'Võistluste järjestused'!$B$23:$D$33,3,0),IF($B15="SK 2",VLOOKUP(S$4,'Võistluste järjestused'!$B$38:$D$47,3,0),IF($B15="SK 3",VLOOKUP(S$4,'Võistluste järjestused'!$B$52:$D$61,3,0),"")))))</f>
      </c>
      <c r="T15" s="44">
        <f>IF(ISNA(IF($B15="SK ALG",VLOOKUP(T$4,'Võistluste järjestused'!$B$11:$D$18,3,0),IF($B15="SK 1",VLOOKUP(T$4,'Võistluste järjestused'!$B$23:$D$33,3,0),IF($B15="SK 2",VLOOKUP(T$4,'Võistluste järjestused'!$B$38:$D$47,3,0),IF($B15="SK 3",VLOOKUP(T$4,'Võistluste järjestused'!$B$52:$D$61,3,0),""))))),"",IF($B15="SK ALG",VLOOKUP(T$4,'Võistluste järjestused'!$B$11:$D$18,3,0),IF($B15="SK 1",VLOOKUP(T$4,'Võistluste järjestused'!$B$23:$D$33,3,0),IF($B15="SK 2",VLOOKUP(T$4,'Võistluste järjestused'!$B$38:$D$47,3,0),IF($B15="SK 3",VLOOKUP(T$4,'Võistluste järjestused'!$B$52:$D$61,3,0),"")))))</f>
      </c>
      <c r="U15" s="44">
        <f>IF(ISNA(IF($B15="SK ALG",VLOOKUP(U$4,'Võistluste järjestused'!$B$11:$D$18,3,0),IF($B15="SK 1",VLOOKUP(U$4,'Võistluste järjestused'!$B$23:$D$33,3,0),IF($B15="SK 2",VLOOKUP(U$4,'Võistluste järjestused'!$B$38:$D$47,3,0),IF($B15="SK 3",VLOOKUP(U$4,'Võistluste järjestused'!$B$52:$D$61,3,0),""))))),"",IF($B15="SK ALG",VLOOKUP(U$4,'Võistluste järjestused'!$B$11:$D$18,3,0),IF($B15="SK 1",VLOOKUP(U$4,'Võistluste järjestused'!$B$23:$D$33,3,0),IF($B15="SK 2",VLOOKUP(U$4,'Võistluste järjestused'!$B$38:$D$47,3,0),IF($B15="SK 3",VLOOKUP(U$4,'Võistluste järjestused'!$B$52:$D$61,3,0),"")))))</f>
      </c>
      <c r="V15" s="44">
        <f>IF(ISNA(IF($B15="SK ALG",VLOOKUP(V$4,'Võistluste järjestused'!$B$11:$D$18,3,0),IF($B15="SK 1",VLOOKUP(V$4,'Võistluste järjestused'!$B$23:$D$33,3,0),IF($B15="SK 2",VLOOKUP(V$4,'Võistluste järjestused'!$B$38:$D$47,3,0),IF($B15="SK 3",VLOOKUP(V$4,'Võistluste järjestused'!$B$52:$D$61,3,0),""))))),"",IF($B15="SK ALG",VLOOKUP(V$4,'Võistluste järjestused'!$B$11:$D$18,3,0),IF($B15="SK 1",VLOOKUP(V$4,'Võistluste järjestused'!$B$23:$D$33,3,0),IF($B15="SK 2",VLOOKUP(V$4,'Võistluste järjestused'!$B$38:$D$47,3,0),IF($B15="SK 3",VLOOKUP(V$4,'Võistluste järjestused'!$B$52:$D$61,3,0),"")))))</f>
      </c>
      <c r="W15" s="44">
        <f>IF(ISNA(IF($B15="SK ALG",VLOOKUP(W$4,'Võistluste järjestused'!$B$11:$D$18,3,0),IF($B15="SK 1",VLOOKUP(W$4,'Võistluste järjestused'!$B$23:$D$33,3,0),IF($B15="SK 2",VLOOKUP(W$4,'Võistluste järjestused'!$B$38:$D$47,3,0),IF($B15="SK 3",VLOOKUP(W$4,'Võistluste järjestused'!$B$52:$D$61,3,0),""))))),"",IF($B15="SK ALG",VLOOKUP(W$4,'Võistluste järjestused'!$B$11:$D$18,3,0),IF($B15="SK 1",VLOOKUP(W$4,'Võistluste järjestused'!$B$23:$D$33,3,0),IF($B15="SK 2",VLOOKUP(W$4,'Võistluste järjestused'!$B$38:$D$47,3,0),IF($B15="SK 3",VLOOKUP(W$4,'Võistluste järjestused'!$B$52:$D$61,3,0),"")))))</f>
      </c>
      <c r="X15" s="44">
        <f>IF(ISNA(IF($B15="SK ALG",VLOOKUP(X$4,'Võistluste järjestused'!$B$11:$D$18,3,0),IF($B15="SK 1",VLOOKUP(X$4,'Võistluste järjestused'!$B$23:$D$33,3,0),IF($B15="SK 2",VLOOKUP(X$4,'Võistluste järjestused'!$B$38:$D$47,3,0),IF($B15="SK 3",VLOOKUP(X$4,'Võistluste järjestused'!$B$52:$D$61,3,0),""))))),"",IF($B15="SK ALG",VLOOKUP(X$4,'Võistluste järjestused'!$B$11:$D$18,3,0),IF($B15="SK 1",VLOOKUP(X$4,'Võistluste järjestused'!$B$23:$D$33,3,0),IF($B15="SK 2",VLOOKUP(X$4,'Võistluste järjestused'!$B$38:$D$47,3,0),IF($B15="SK 3",VLOOKUP(X$4,'Võistluste järjestused'!$B$52:$D$61,3,0),"")))))</f>
      </c>
      <c r="Y15" s="44">
        <f>IF(ISNA(IF($B15="SK ALG",VLOOKUP(Y$4,'Võistluste järjestused'!$B$11:$D$18,3,0),IF($B15="SK 1",VLOOKUP(Y$4,'Võistluste järjestused'!$B$23:$D$33,3,0),IF($B15="SK 2",VLOOKUP(Y$4,'Võistluste järjestused'!$B$38:$D$47,3,0),IF($B15="SK 3",VLOOKUP(Y$4,'Võistluste järjestused'!$B$52:$D$61,3,0),""))))),"",IF($B15="SK ALG",VLOOKUP(Y$4,'Võistluste järjestused'!$B$11:$D$18,3,0),IF($B15="SK 1",VLOOKUP(Y$4,'Võistluste järjestused'!$B$23:$D$33,3,0),IF($B15="SK 2",VLOOKUP(Y$4,'Võistluste järjestused'!$B$38:$D$47,3,0),IF($B15="SK 3",VLOOKUP(Y$4,'Võistluste järjestused'!$B$52:$D$61,3,0),"")))))</f>
      </c>
      <c r="Z15" s="44">
        <f>IF(ISNA(IF($B15="SK ALG",VLOOKUP(Z$4,'Võistluste järjestused'!$B$11:$D$18,3,0),IF($B15="SK 1",VLOOKUP(Z$4,'Võistluste järjestused'!$B$23:$D$33,3,0),IF($B15="SK 2",VLOOKUP(Z$4,'Võistluste järjestused'!$B$38:$D$47,3,0),IF($B15="SK 3",VLOOKUP(Z$4,'Võistluste järjestused'!$B$52:$D$61,3,0),""))))),"",IF($B15="SK ALG",VLOOKUP(Z$4,'Võistluste järjestused'!$B$11:$D$18,3,0),IF($B15="SK 1",VLOOKUP(Z$4,'Võistluste järjestused'!$B$23:$D$33,3,0),IF($B15="SK 2",VLOOKUP(Z$4,'Võistluste järjestused'!$B$38:$D$47,3,0),IF($B15="SK 3",VLOOKUP(Z$4,'Võistluste järjestused'!$B$52:$D$61,3,0),"")))))</f>
      </c>
      <c r="AA15" s="44">
        <f>IF(ISNA(IF($B15="SK ALG",VLOOKUP(AA$4,'Võistluste järjestused'!$B$11:$D$18,3,0),IF($B15="SK 1",VLOOKUP(AA$4,'Võistluste järjestused'!$B$23:$D$33,3,0),IF($B15="SK 2",VLOOKUP(AA$4,'Võistluste järjestused'!$B$38:$D$47,3,0),IF($B15="SK 3",VLOOKUP(AA$4,'Võistluste järjestused'!$B$52:$D$61,3,0),""))))),"",IF($B15="SK ALG",VLOOKUP(AA$4,'Võistluste järjestused'!$B$11:$D$18,3,0),IF($B15="SK 1",VLOOKUP(AA$4,'Võistluste järjestused'!$B$23:$D$33,3,0),IF($B15="SK 2",VLOOKUP(AA$4,'Võistluste järjestused'!$B$38:$D$47,3,0),IF($B15="SK 3",VLOOKUP(AA$4,'Võistluste järjestused'!$B$52:$D$61,3,0),"")))))</f>
      </c>
      <c r="AB15" s="44">
        <f>IF(ISNA(IF($B15="SK ALG",VLOOKUP(AB$4,'Võistluste järjestused'!$B$11:$D$18,3,0),IF($B15="SK 1",VLOOKUP(AB$4,'Võistluste järjestused'!$B$23:$D$33,3,0),IF($B15="SK 2",VLOOKUP(AB$4,'Võistluste järjestused'!$B$38:$D$47,3,0),IF($B15="SK 3",VLOOKUP(AB$4,'Võistluste järjestused'!$B$52:$D$61,3,0),""))))),"",IF($B15="SK ALG",VLOOKUP(AB$4,'Võistluste järjestused'!$B$11:$D$18,3,0),IF($B15="SK 1",VLOOKUP(AB$4,'Võistluste järjestused'!$B$23:$D$33,3,0),IF($B15="SK 2",VLOOKUP(AB$4,'Võistluste järjestused'!$B$38:$D$47,3,0),IF($B15="SK 3",VLOOKUP(AB$4,'Võistluste järjestused'!$B$52:$D$61,3,0),"")))))</f>
      </c>
      <c r="AC15" s="44">
        <f>IF(ISNA(IF($B15="SK ALG",VLOOKUP(AC$4,'Võistluste järjestused'!$B$11:$D$18,3,0),IF($B15="SK 1",VLOOKUP(AC$4,'Võistluste järjestused'!$B$23:$D$33,3,0),IF($B15="SK 2",VLOOKUP(AC$4,'Võistluste järjestused'!$B$38:$D$47,3,0),IF($B15="SK 3",VLOOKUP(AC$4,'Võistluste järjestused'!$B$52:$D$61,3,0),""))))),"",IF($B15="SK ALG",VLOOKUP(AC$4,'Võistluste järjestused'!$B$11:$D$18,3,0),IF($B15="SK 1",VLOOKUP(AC$4,'Võistluste järjestused'!$B$23:$D$33,3,0),IF($B15="SK 2",VLOOKUP(AC$4,'Võistluste järjestused'!$B$38:$D$47,3,0),IF($B15="SK 3",VLOOKUP(AC$4,'Võistluste järjestused'!$B$52:$D$61,3,0),"")))))</f>
      </c>
      <c r="AD15" s="45"/>
      <c r="AE15" s="45"/>
      <c r="AF15" s="45"/>
      <c r="AG15" s="45"/>
      <c r="AH15" s="30">
        <f t="shared" si="6"/>
      </c>
      <c r="AI15" s="46">
        <f>IF(B15="","",IF(AH15="DSQ",0,H15*S15+I15*T15+J15*U15+K15*V15+L15*W15+M15*X15+N15*Y15+O15*Z15+P15*AA15+Q15*AB15+R15*AC15+AE15*'Võistluste järjestused'!D73))</f>
      </c>
      <c r="AJ15" s="30">
        <f>IF(B15="","",IF(AI15&gt;=VLOOKUP(B15,'Võistluste järjestused'!$F$18:$J$21,3,0),"I järk",IF(AI15&gt;=VLOOKUP(B15,'Võistluste järjestused'!$F$18:$J$21,4,0),"II järk",IF(AI15&gt;=VLOOKUP(B15,'Võistluste järjestused'!$F$18:$J$21,5,0),"III järk",0))))</f>
      </c>
      <c r="AK15" s="30">
        <f t="shared" si="0"/>
      </c>
      <c r="AL15" s="30">
        <f t="shared" si="1"/>
      </c>
      <c r="AM15" s="30">
        <f t="shared" si="2"/>
      </c>
      <c r="AN15" s="30">
        <f t="shared" si="3"/>
      </c>
      <c r="AO15" s="30">
        <f t="shared" si="4"/>
      </c>
      <c r="AP15" s="47">
        <f t="shared" si="5"/>
      </c>
      <c r="AR15" s="37"/>
    </row>
    <row r="16" spans="1:44" ht="25.5">
      <c r="A16" s="30">
        <v>12</v>
      </c>
      <c r="B16" s="40"/>
      <c r="C16" s="41"/>
      <c r="D16" s="41"/>
      <c r="E16" s="41"/>
      <c r="F16" s="40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>
        <f>IF(ISNA(IF($B16="SK ALG",VLOOKUP(S$4,'Võistluste järjestused'!$B$11:$D$18,3,0),IF($B16="SK 1",VLOOKUP(S$4,'Võistluste järjestused'!$B$23:$D$33,3,0),IF($B16="SK 2",VLOOKUP(S$4,'Võistluste järjestused'!$B$38:$D$47,3,0),IF($B16="SK 3",VLOOKUP(S$4,'Võistluste järjestused'!$B$52:$D$61,3,0),""))))),"",IF($B16="SK ALG",VLOOKUP(S$4,'Võistluste järjestused'!$B$11:$D$18,3,0),IF($B16="SK 1",VLOOKUP(S$4,'Võistluste järjestused'!$B$23:$D$33,3,0),IF($B16="SK 2",VLOOKUP(S$4,'Võistluste järjestused'!$B$38:$D$47,3,0),IF($B16="SK 3",VLOOKUP(S$4,'Võistluste järjestused'!$B$52:$D$61,3,0),"")))))</f>
      </c>
      <c r="T16" s="44">
        <f>IF(ISNA(IF($B16="SK ALG",VLOOKUP(T$4,'Võistluste järjestused'!$B$11:$D$18,3,0),IF($B16="SK 1",VLOOKUP(T$4,'Võistluste järjestused'!$B$23:$D$33,3,0),IF($B16="SK 2",VLOOKUP(T$4,'Võistluste järjestused'!$B$38:$D$47,3,0),IF($B16="SK 3",VLOOKUP(T$4,'Võistluste järjestused'!$B$52:$D$61,3,0),""))))),"",IF($B16="SK ALG",VLOOKUP(T$4,'Võistluste järjestused'!$B$11:$D$18,3,0),IF($B16="SK 1",VLOOKUP(T$4,'Võistluste järjestused'!$B$23:$D$33,3,0),IF($B16="SK 2",VLOOKUP(T$4,'Võistluste järjestused'!$B$38:$D$47,3,0),IF($B16="SK 3",VLOOKUP(T$4,'Võistluste järjestused'!$B$52:$D$61,3,0),"")))))</f>
      </c>
      <c r="U16" s="44">
        <f>IF(ISNA(IF($B16="SK ALG",VLOOKUP(U$4,'Võistluste järjestused'!$B$11:$D$18,3,0),IF($B16="SK 1",VLOOKUP(U$4,'Võistluste järjestused'!$B$23:$D$33,3,0),IF($B16="SK 2",VLOOKUP(U$4,'Võistluste järjestused'!$B$38:$D$47,3,0),IF($B16="SK 3",VLOOKUP(U$4,'Võistluste järjestused'!$B$52:$D$61,3,0),""))))),"",IF($B16="SK ALG",VLOOKUP(U$4,'Võistluste järjestused'!$B$11:$D$18,3,0),IF($B16="SK 1",VLOOKUP(U$4,'Võistluste järjestused'!$B$23:$D$33,3,0),IF($B16="SK 2",VLOOKUP(U$4,'Võistluste järjestused'!$B$38:$D$47,3,0),IF($B16="SK 3",VLOOKUP(U$4,'Võistluste järjestused'!$B$52:$D$61,3,0),"")))))</f>
      </c>
      <c r="V16" s="44">
        <f>IF(ISNA(IF($B16="SK ALG",VLOOKUP(V$4,'Võistluste järjestused'!$B$11:$D$18,3,0),IF($B16="SK 1",VLOOKUP(V$4,'Võistluste järjestused'!$B$23:$D$33,3,0),IF($B16="SK 2",VLOOKUP(V$4,'Võistluste järjestused'!$B$38:$D$47,3,0),IF($B16="SK 3",VLOOKUP(V$4,'Võistluste järjestused'!$B$52:$D$61,3,0),""))))),"",IF($B16="SK ALG",VLOOKUP(V$4,'Võistluste järjestused'!$B$11:$D$18,3,0),IF($B16="SK 1",VLOOKUP(V$4,'Võistluste järjestused'!$B$23:$D$33,3,0),IF($B16="SK 2",VLOOKUP(V$4,'Võistluste järjestused'!$B$38:$D$47,3,0),IF($B16="SK 3",VLOOKUP(V$4,'Võistluste järjestused'!$B$52:$D$61,3,0),"")))))</f>
      </c>
      <c r="W16" s="44">
        <f>IF(ISNA(IF($B16="SK ALG",VLOOKUP(W$4,'Võistluste järjestused'!$B$11:$D$18,3,0),IF($B16="SK 1",VLOOKUP(W$4,'Võistluste järjestused'!$B$23:$D$33,3,0),IF($B16="SK 2",VLOOKUP(W$4,'Võistluste järjestused'!$B$38:$D$47,3,0),IF($B16="SK 3",VLOOKUP(W$4,'Võistluste järjestused'!$B$52:$D$61,3,0),""))))),"",IF($B16="SK ALG",VLOOKUP(W$4,'Võistluste järjestused'!$B$11:$D$18,3,0),IF($B16="SK 1",VLOOKUP(W$4,'Võistluste järjestused'!$B$23:$D$33,3,0),IF($B16="SK 2",VLOOKUP(W$4,'Võistluste järjestused'!$B$38:$D$47,3,0),IF($B16="SK 3",VLOOKUP(W$4,'Võistluste järjestused'!$B$52:$D$61,3,0),"")))))</f>
      </c>
      <c r="X16" s="44">
        <f>IF(ISNA(IF($B16="SK ALG",VLOOKUP(X$4,'Võistluste järjestused'!$B$11:$D$18,3,0),IF($B16="SK 1",VLOOKUP(X$4,'Võistluste järjestused'!$B$23:$D$33,3,0),IF($B16="SK 2",VLOOKUP(X$4,'Võistluste järjestused'!$B$38:$D$47,3,0),IF($B16="SK 3",VLOOKUP(X$4,'Võistluste järjestused'!$B$52:$D$61,3,0),""))))),"",IF($B16="SK ALG",VLOOKUP(X$4,'Võistluste järjestused'!$B$11:$D$18,3,0),IF($B16="SK 1",VLOOKUP(X$4,'Võistluste järjestused'!$B$23:$D$33,3,0),IF($B16="SK 2",VLOOKUP(X$4,'Võistluste järjestused'!$B$38:$D$47,3,0),IF($B16="SK 3",VLOOKUP(X$4,'Võistluste järjestused'!$B$52:$D$61,3,0),"")))))</f>
      </c>
      <c r="Y16" s="44">
        <f>IF(ISNA(IF($B16="SK ALG",VLOOKUP(Y$4,'Võistluste järjestused'!$B$11:$D$18,3,0),IF($B16="SK 1",VLOOKUP(Y$4,'Võistluste järjestused'!$B$23:$D$33,3,0),IF($B16="SK 2",VLOOKUP(Y$4,'Võistluste järjestused'!$B$38:$D$47,3,0),IF($B16="SK 3",VLOOKUP(Y$4,'Võistluste järjestused'!$B$52:$D$61,3,0),""))))),"",IF($B16="SK ALG",VLOOKUP(Y$4,'Võistluste järjestused'!$B$11:$D$18,3,0),IF($B16="SK 1",VLOOKUP(Y$4,'Võistluste järjestused'!$B$23:$D$33,3,0),IF($B16="SK 2",VLOOKUP(Y$4,'Võistluste järjestused'!$B$38:$D$47,3,0),IF($B16="SK 3",VLOOKUP(Y$4,'Võistluste järjestused'!$B$52:$D$61,3,0),"")))))</f>
      </c>
      <c r="Z16" s="44">
        <f>IF(ISNA(IF($B16="SK ALG",VLOOKUP(Z$4,'Võistluste järjestused'!$B$11:$D$18,3,0),IF($B16="SK 1",VLOOKUP(Z$4,'Võistluste järjestused'!$B$23:$D$33,3,0),IF($B16="SK 2",VLOOKUP(Z$4,'Võistluste järjestused'!$B$38:$D$47,3,0),IF($B16="SK 3",VLOOKUP(Z$4,'Võistluste järjestused'!$B$52:$D$61,3,0),""))))),"",IF($B16="SK ALG",VLOOKUP(Z$4,'Võistluste järjestused'!$B$11:$D$18,3,0),IF($B16="SK 1",VLOOKUP(Z$4,'Võistluste järjestused'!$B$23:$D$33,3,0),IF($B16="SK 2",VLOOKUP(Z$4,'Võistluste järjestused'!$B$38:$D$47,3,0),IF($B16="SK 3",VLOOKUP(Z$4,'Võistluste järjestused'!$B$52:$D$61,3,0),"")))))</f>
      </c>
      <c r="AA16" s="44">
        <f>IF(ISNA(IF($B16="SK ALG",VLOOKUP(AA$4,'Võistluste järjestused'!$B$11:$D$18,3,0),IF($B16="SK 1",VLOOKUP(AA$4,'Võistluste järjestused'!$B$23:$D$33,3,0),IF($B16="SK 2",VLOOKUP(AA$4,'Võistluste järjestused'!$B$38:$D$47,3,0),IF($B16="SK 3",VLOOKUP(AA$4,'Võistluste järjestused'!$B$52:$D$61,3,0),""))))),"",IF($B16="SK ALG",VLOOKUP(AA$4,'Võistluste järjestused'!$B$11:$D$18,3,0),IF($B16="SK 1",VLOOKUP(AA$4,'Võistluste järjestused'!$B$23:$D$33,3,0),IF($B16="SK 2",VLOOKUP(AA$4,'Võistluste järjestused'!$B$38:$D$47,3,0),IF($B16="SK 3",VLOOKUP(AA$4,'Võistluste järjestused'!$B$52:$D$61,3,0),"")))))</f>
      </c>
      <c r="AB16" s="44">
        <f>IF(ISNA(IF($B16="SK ALG",VLOOKUP(AB$4,'Võistluste järjestused'!$B$11:$D$18,3,0),IF($B16="SK 1",VLOOKUP(AB$4,'Võistluste järjestused'!$B$23:$D$33,3,0),IF($B16="SK 2",VLOOKUP(AB$4,'Võistluste järjestused'!$B$38:$D$47,3,0),IF($B16="SK 3",VLOOKUP(AB$4,'Võistluste järjestused'!$B$52:$D$61,3,0),""))))),"",IF($B16="SK ALG",VLOOKUP(AB$4,'Võistluste järjestused'!$B$11:$D$18,3,0),IF($B16="SK 1",VLOOKUP(AB$4,'Võistluste järjestused'!$B$23:$D$33,3,0),IF($B16="SK 2",VLOOKUP(AB$4,'Võistluste järjestused'!$B$38:$D$47,3,0),IF($B16="SK 3",VLOOKUP(AB$4,'Võistluste järjestused'!$B$52:$D$61,3,0),"")))))</f>
      </c>
      <c r="AC16" s="44">
        <f>IF(ISNA(IF($B16="SK ALG",VLOOKUP(AC$4,'Võistluste järjestused'!$B$11:$D$18,3,0),IF($B16="SK 1",VLOOKUP(AC$4,'Võistluste järjestused'!$B$23:$D$33,3,0),IF($B16="SK 2",VLOOKUP(AC$4,'Võistluste järjestused'!$B$38:$D$47,3,0),IF($B16="SK 3",VLOOKUP(AC$4,'Võistluste järjestused'!$B$52:$D$61,3,0),""))))),"",IF($B16="SK ALG",VLOOKUP(AC$4,'Võistluste järjestused'!$B$11:$D$18,3,0),IF($B16="SK 1",VLOOKUP(AC$4,'Võistluste järjestused'!$B$23:$D$33,3,0),IF($B16="SK 2",VLOOKUP(AC$4,'Võistluste järjestused'!$B$38:$D$47,3,0),IF($B16="SK 3",VLOOKUP(AC$4,'Võistluste järjestused'!$B$52:$D$61,3,0),"")))))</f>
      </c>
      <c r="AD16" s="45"/>
      <c r="AE16" s="45"/>
      <c r="AF16" s="45"/>
      <c r="AG16" s="45"/>
      <c r="AH16" s="30">
        <f t="shared" si="6"/>
      </c>
      <c r="AI16" s="46">
        <f>IF(B16="","",IF(AH16="DSQ",0,H16*S16+I16*T16+J16*U16+K16*V16+L16*W16+M16*X16+N16*Y16+O16*Z16+P16*AA16+Q16*AB16+R16*AC16+AE16*'Võistluste järjestused'!D74))</f>
      </c>
      <c r="AJ16" s="30">
        <f>IF(B16="","",IF(AI16&gt;=VLOOKUP(B16,'Võistluste järjestused'!$F$18:$J$21,3,0),"I järk",IF(AI16&gt;=VLOOKUP(B16,'Võistluste järjestused'!$F$18:$J$21,4,0),"II järk",IF(AI16&gt;=VLOOKUP(B16,'Võistluste järjestused'!$F$18:$J$21,5,0),"III järk",0))))</f>
      </c>
      <c r="AK16" s="30">
        <f t="shared" si="0"/>
      </c>
      <c r="AL16" s="30">
        <f t="shared" si="1"/>
      </c>
      <c r="AM16" s="30">
        <f t="shared" si="2"/>
      </c>
      <c r="AN16" s="30">
        <f t="shared" si="3"/>
      </c>
      <c r="AO16" s="30">
        <f t="shared" si="4"/>
      </c>
      <c r="AP16" s="47">
        <f t="shared" si="5"/>
      </c>
      <c r="AR16" s="37"/>
    </row>
    <row r="17" spans="1:44" ht="25.5">
      <c r="A17" s="30">
        <v>13</v>
      </c>
      <c r="B17" s="40"/>
      <c r="C17" s="41"/>
      <c r="D17" s="41"/>
      <c r="E17" s="41"/>
      <c r="F17" s="40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>
        <f>IF(ISNA(IF($B17="SK ALG",VLOOKUP(S$4,'Võistluste järjestused'!$B$11:$D$18,3,0),IF($B17="SK 1",VLOOKUP(S$4,'Võistluste järjestused'!$B$23:$D$33,3,0),IF($B17="SK 2",VLOOKUP(S$4,'Võistluste järjestused'!$B$38:$D$47,3,0),IF($B17="SK 3",VLOOKUP(S$4,'Võistluste järjestused'!$B$52:$D$61,3,0),""))))),"",IF($B17="SK ALG",VLOOKUP(S$4,'Võistluste järjestused'!$B$11:$D$18,3,0),IF($B17="SK 1",VLOOKUP(S$4,'Võistluste järjestused'!$B$23:$D$33,3,0),IF($B17="SK 2",VLOOKUP(S$4,'Võistluste järjestused'!$B$38:$D$47,3,0),IF($B17="SK 3",VLOOKUP(S$4,'Võistluste järjestused'!$B$52:$D$61,3,0),"")))))</f>
      </c>
      <c r="T17" s="44">
        <f>IF(ISNA(IF($B17="SK ALG",VLOOKUP(T$4,'Võistluste järjestused'!$B$11:$D$18,3,0),IF($B17="SK 1",VLOOKUP(T$4,'Võistluste järjestused'!$B$23:$D$33,3,0),IF($B17="SK 2",VLOOKUP(T$4,'Võistluste järjestused'!$B$38:$D$47,3,0),IF($B17="SK 3",VLOOKUP(T$4,'Võistluste järjestused'!$B$52:$D$61,3,0),""))))),"",IF($B17="SK ALG",VLOOKUP(T$4,'Võistluste järjestused'!$B$11:$D$18,3,0),IF($B17="SK 1",VLOOKUP(T$4,'Võistluste järjestused'!$B$23:$D$33,3,0),IF($B17="SK 2",VLOOKUP(T$4,'Võistluste järjestused'!$B$38:$D$47,3,0),IF($B17="SK 3",VLOOKUP(T$4,'Võistluste järjestused'!$B$52:$D$61,3,0),"")))))</f>
      </c>
      <c r="U17" s="44">
        <f>IF(ISNA(IF($B17="SK ALG",VLOOKUP(U$4,'Võistluste järjestused'!$B$11:$D$18,3,0),IF($B17="SK 1",VLOOKUP(U$4,'Võistluste järjestused'!$B$23:$D$33,3,0),IF($B17="SK 2",VLOOKUP(U$4,'Võistluste järjestused'!$B$38:$D$47,3,0),IF($B17="SK 3",VLOOKUP(U$4,'Võistluste järjestused'!$B$52:$D$61,3,0),""))))),"",IF($B17="SK ALG",VLOOKUP(U$4,'Võistluste järjestused'!$B$11:$D$18,3,0),IF($B17="SK 1",VLOOKUP(U$4,'Võistluste järjestused'!$B$23:$D$33,3,0),IF($B17="SK 2",VLOOKUP(U$4,'Võistluste järjestused'!$B$38:$D$47,3,0),IF($B17="SK 3",VLOOKUP(U$4,'Võistluste järjestused'!$B$52:$D$61,3,0),"")))))</f>
      </c>
      <c r="V17" s="44">
        <f>IF(ISNA(IF($B17="SK ALG",VLOOKUP(V$4,'Võistluste järjestused'!$B$11:$D$18,3,0),IF($B17="SK 1",VLOOKUP(V$4,'Võistluste järjestused'!$B$23:$D$33,3,0),IF($B17="SK 2",VLOOKUP(V$4,'Võistluste järjestused'!$B$38:$D$47,3,0),IF($B17="SK 3",VLOOKUP(V$4,'Võistluste järjestused'!$B$52:$D$61,3,0),""))))),"",IF($B17="SK ALG",VLOOKUP(V$4,'Võistluste järjestused'!$B$11:$D$18,3,0),IF($B17="SK 1",VLOOKUP(V$4,'Võistluste järjestused'!$B$23:$D$33,3,0),IF($B17="SK 2",VLOOKUP(V$4,'Võistluste järjestused'!$B$38:$D$47,3,0),IF($B17="SK 3",VLOOKUP(V$4,'Võistluste järjestused'!$B$52:$D$61,3,0),"")))))</f>
      </c>
      <c r="W17" s="44">
        <f>IF(ISNA(IF($B17="SK ALG",VLOOKUP(W$4,'Võistluste järjestused'!$B$11:$D$18,3,0),IF($B17="SK 1",VLOOKUP(W$4,'Võistluste järjestused'!$B$23:$D$33,3,0),IF($B17="SK 2",VLOOKUP(W$4,'Võistluste järjestused'!$B$38:$D$47,3,0),IF($B17="SK 3",VLOOKUP(W$4,'Võistluste järjestused'!$B$52:$D$61,3,0),""))))),"",IF($B17="SK ALG",VLOOKUP(W$4,'Võistluste järjestused'!$B$11:$D$18,3,0),IF($B17="SK 1",VLOOKUP(W$4,'Võistluste järjestused'!$B$23:$D$33,3,0),IF($B17="SK 2",VLOOKUP(W$4,'Võistluste järjestused'!$B$38:$D$47,3,0),IF($B17="SK 3",VLOOKUP(W$4,'Võistluste järjestused'!$B$52:$D$61,3,0),"")))))</f>
      </c>
      <c r="X17" s="44">
        <f>IF(ISNA(IF($B17="SK ALG",VLOOKUP(X$4,'Võistluste järjestused'!$B$11:$D$18,3,0),IF($B17="SK 1",VLOOKUP(X$4,'Võistluste järjestused'!$B$23:$D$33,3,0),IF($B17="SK 2",VLOOKUP(X$4,'Võistluste järjestused'!$B$38:$D$47,3,0),IF($B17="SK 3",VLOOKUP(X$4,'Võistluste järjestused'!$B$52:$D$61,3,0),""))))),"",IF($B17="SK ALG",VLOOKUP(X$4,'Võistluste järjestused'!$B$11:$D$18,3,0),IF($B17="SK 1",VLOOKUP(X$4,'Võistluste järjestused'!$B$23:$D$33,3,0),IF($B17="SK 2",VLOOKUP(X$4,'Võistluste järjestused'!$B$38:$D$47,3,0),IF($B17="SK 3",VLOOKUP(X$4,'Võistluste järjestused'!$B$52:$D$61,3,0),"")))))</f>
      </c>
      <c r="Y17" s="44">
        <f>IF(ISNA(IF($B17="SK ALG",VLOOKUP(Y$4,'Võistluste järjestused'!$B$11:$D$18,3,0),IF($B17="SK 1",VLOOKUP(Y$4,'Võistluste järjestused'!$B$23:$D$33,3,0),IF($B17="SK 2",VLOOKUP(Y$4,'Võistluste järjestused'!$B$38:$D$47,3,0),IF($B17="SK 3",VLOOKUP(Y$4,'Võistluste järjestused'!$B$52:$D$61,3,0),""))))),"",IF($B17="SK ALG",VLOOKUP(Y$4,'Võistluste järjestused'!$B$11:$D$18,3,0),IF($B17="SK 1",VLOOKUP(Y$4,'Võistluste järjestused'!$B$23:$D$33,3,0),IF($B17="SK 2",VLOOKUP(Y$4,'Võistluste järjestused'!$B$38:$D$47,3,0),IF($B17="SK 3",VLOOKUP(Y$4,'Võistluste järjestused'!$B$52:$D$61,3,0),"")))))</f>
      </c>
      <c r="Z17" s="44">
        <f>IF(ISNA(IF($B17="SK ALG",VLOOKUP(Z$4,'Võistluste järjestused'!$B$11:$D$18,3,0),IF($B17="SK 1",VLOOKUP(Z$4,'Võistluste järjestused'!$B$23:$D$33,3,0),IF($B17="SK 2",VLOOKUP(Z$4,'Võistluste järjestused'!$B$38:$D$47,3,0),IF($B17="SK 3",VLOOKUP(Z$4,'Võistluste järjestused'!$B$52:$D$61,3,0),""))))),"",IF($B17="SK ALG",VLOOKUP(Z$4,'Võistluste järjestused'!$B$11:$D$18,3,0),IF($B17="SK 1",VLOOKUP(Z$4,'Võistluste järjestused'!$B$23:$D$33,3,0),IF($B17="SK 2",VLOOKUP(Z$4,'Võistluste järjestused'!$B$38:$D$47,3,0),IF($B17="SK 3",VLOOKUP(Z$4,'Võistluste järjestused'!$B$52:$D$61,3,0),"")))))</f>
      </c>
      <c r="AA17" s="44">
        <f>IF(ISNA(IF($B17="SK ALG",VLOOKUP(AA$4,'Võistluste järjestused'!$B$11:$D$18,3,0),IF($B17="SK 1",VLOOKUP(AA$4,'Võistluste järjestused'!$B$23:$D$33,3,0),IF($B17="SK 2",VLOOKUP(AA$4,'Võistluste järjestused'!$B$38:$D$47,3,0),IF($B17="SK 3",VLOOKUP(AA$4,'Võistluste järjestused'!$B$52:$D$61,3,0),""))))),"",IF($B17="SK ALG",VLOOKUP(AA$4,'Võistluste järjestused'!$B$11:$D$18,3,0),IF($B17="SK 1",VLOOKUP(AA$4,'Võistluste järjestused'!$B$23:$D$33,3,0),IF($B17="SK 2",VLOOKUP(AA$4,'Võistluste järjestused'!$B$38:$D$47,3,0),IF($B17="SK 3",VLOOKUP(AA$4,'Võistluste järjestused'!$B$52:$D$61,3,0),"")))))</f>
      </c>
      <c r="AB17" s="44">
        <f>IF(ISNA(IF($B17="SK ALG",VLOOKUP(AB$4,'Võistluste järjestused'!$B$11:$D$18,3,0),IF($B17="SK 1",VLOOKUP(AB$4,'Võistluste järjestused'!$B$23:$D$33,3,0),IF($B17="SK 2",VLOOKUP(AB$4,'Võistluste järjestused'!$B$38:$D$47,3,0),IF($B17="SK 3",VLOOKUP(AB$4,'Võistluste järjestused'!$B$52:$D$61,3,0),""))))),"",IF($B17="SK ALG",VLOOKUP(AB$4,'Võistluste järjestused'!$B$11:$D$18,3,0),IF($B17="SK 1",VLOOKUP(AB$4,'Võistluste järjestused'!$B$23:$D$33,3,0),IF($B17="SK 2",VLOOKUP(AB$4,'Võistluste järjestused'!$B$38:$D$47,3,0),IF($B17="SK 3",VLOOKUP(AB$4,'Võistluste järjestused'!$B$52:$D$61,3,0),"")))))</f>
      </c>
      <c r="AC17" s="44">
        <f>IF(ISNA(IF($B17="SK ALG",VLOOKUP(AC$4,'Võistluste järjestused'!$B$11:$D$18,3,0),IF($B17="SK 1",VLOOKUP(AC$4,'Võistluste järjestused'!$B$23:$D$33,3,0),IF($B17="SK 2",VLOOKUP(AC$4,'Võistluste järjestused'!$B$38:$D$47,3,0),IF($B17="SK 3",VLOOKUP(AC$4,'Võistluste järjestused'!$B$52:$D$61,3,0),""))))),"",IF($B17="SK ALG",VLOOKUP(AC$4,'Võistluste järjestused'!$B$11:$D$18,3,0),IF($B17="SK 1",VLOOKUP(AC$4,'Võistluste järjestused'!$B$23:$D$33,3,0),IF($B17="SK 2",VLOOKUP(AC$4,'Võistluste järjestused'!$B$38:$D$47,3,0),IF($B17="SK 3",VLOOKUP(AC$4,'Võistluste järjestused'!$B$52:$D$61,3,0),"")))))</f>
      </c>
      <c r="AD17" s="45"/>
      <c r="AE17" s="45"/>
      <c r="AF17" s="45"/>
      <c r="AG17" s="45"/>
      <c r="AH17" s="30">
        <f t="shared" si="6"/>
      </c>
      <c r="AI17" s="46">
        <f>IF(B17="","",IF(AH17="DSQ",0,H17*S17+I17*T17+J17*U17+K17*V17+L17*W17+M17*X17+N17*Y17+O17*Z17+P17*AA17+Q17*AB17+R17*AC17+AE17*'Võistluste järjestused'!D75))</f>
      </c>
      <c r="AJ17" s="30">
        <f>IF(B17="","",IF(AI17&gt;=VLOOKUP(B17,'Võistluste järjestused'!$F$18:$J$21,3,0),"I järk",IF(AI17&gt;=VLOOKUP(B17,'Võistluste järjestused'!$F$18:$J$21,4,0),"II järk",IF(AI17&gt;=VLOOKUP(B17,'Võistluste järjestused'!$F$18:$J$21,5,0),"III järk",0))))</f>
      </c>
      <c r="AK17" s="30">
        <f t="shared" si="0"/>
      </c>
      <c r="AL17" s="30">
        <f t="shared" si="1"/>
      </c>
      <c r="AM17" s="30">
        <f t="shared" si="2"/>
      </c>
      <c r="AN17" s="30">
        <f t="shared" si="3"/>
      </c>
      <c r="AO17" s="30">
        <f t="shared" si="4"/>
      </c>
      <c r="AP17" s="47">
        <f t="shared" si="5"/>
      </c>
      <c r="AR17" s="37"/>
    </row>
    <row r="18" spans="1:44" ht="25.5">
      <c r="A18" s="30">
        <v>14</v>
      </c>
      <c r="B18" s="40"/>
      <c r="C18" s="41"/>
      <c r="D18" s="41"/>
      <c r="E18" s="41"/>
      <c r="F18" s="40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>
        <f>IF(ISNA(IF($B18="SK ALG",VLOOKUP(S$4,'Võistluste järjestused'!$B$11:$D$18,3,0),IF($B18="SK 1",VLOOKUP(S$4,'Võistluste järjestused'!$B$23:$D$33,3,0),IF($B18="SK 2",VLOOKUP(S$4,'Võistluste järjestused'!$B$38:$D$47,3,0),IF($B18="SK 3",VLOOKUP(S$4,'Võistluste järjestused'!$B$52:$D$61,3,0),""))))),"",IF($B18="SK ALG",VLOOKUP(S$4,'Võistluste järjestused'!$B$11:$D$18,3,0),IF($B18="SK 1",VLOOKUP(S$4,'Võistluste järjestused'!$B$23:$D$33,3,0),IF($B18="SK 2",VLOOKUP(S$4,'Võistluste järjestused'!$B$38:$D$47,3,0),IF($B18="SK 3",VLOOKUP(S$4,'Võistluste järjestused'!$B$52:$D$61,3,0),"")))))</f>
      </c>
      <c r="T18" s="44">
        <f>IF(ISNA(IF($B18="SK ALG",VLOOKUP(T$4,'Võistluste järjestused'!$B$11:$D$18,3,0),IF($B18="SK 1",VLOOKUP(T$4,'Võistluste järjestused'!$B$23:$D$33,3,0),IF($B18="SK 2",VLOOKUP(T$4,'Võistluste järjestused'!$B$38:$D$47,3,0),IF($B18="SK 3",VLOOKUP(T$4,'Võistluste järjestused'!$B$52:$D$61,3,0),""))))),"",IF($B18="SK ALG",VLOOKUP(T$4,'Võistluste järjestused'!$B$11:$D$18,3,0),IF($B18="SK 1",VLOOKUP(T$4,'Võistluste järjestused'!$B$23:$D$33,3,0),IF($B18="SK 2",VLOOKUP(T$4,'Võistluste järjestused'!$B$38:$D$47,3,0),IF($B18="SK 3",VLOOKUP(T$4,'Võistluste järjestused'!$B$52:$D$61,3,0),"")))))</f>
      </c>
      <c r="U18" s="44">
        <f>IF(ISNA(IF($B18="SK ALG",VLOOKUP(U$4,'Võistluste järjestused'!$B$11:$D$18,3,0),IF($B18="SK 1",VLOOKUP(U$4,'Võistluste järjestused'!$B$23:$D$33,3,0),IF($B18="SK 2",VLOOKUP(U$4,'Võistluste järjestused'!$B$38:$D$47,3,0),IF($B18="SK 3",VLOOKUP(U$4,'Võistluste järjestused'!$B$52:$D$61,3,0),""))))),"",IF($B18="SK ALG",VLOOKUP(U$4,'Võistluste järjestused'!$B$11:$D$18,3,0),IF($B18="SK 1",VLOOKUP(U$4,'Võistluste järjestused'!$B$23:$D$33,3,0),IF($B18="SK 2",VLOOKUP(U$4,'Võistluste järjestused'!$B$38:$D$47,3,0),IF($B18="SK 3",VLOOKUP(U$4,'Võistluste järjestused'!$B$52:$D$61,3,0),"")))))</f>
      </c>
      <c r="V18" s="44">
        <f>IF(ISNA(IF($B18="SK ALG",VLOOKUP(V$4,'Võistluste järjestused'!$B$11:$D$18,3,0),IF($B18="SK 1",VLOOKUP(V$4,'Võistluste järjestused'!$B$23:$D$33,3,0),IF($B18="SK 2",VLOOKUP(V$4,'Võistluste järjestused'!$B$38:$D$47,3,0),IF($B18="SK 3",VLOOKUP(V$4,'Võistluste järjestused'!$B$52:$D$61,3,0),""))))),"",IF($B18="SK ALG",VLOOKUP(V$4,'Võistluste järjestused'!$B$11:$D$18,3,0),IF($B18="SK 1",VLOOKUP(V$4,'Võistluste järjestused'!$B$23:$D$33,3,0),IF($B18="SK 2",VLOOKUP(V$4,'Võistluste järjestused'!$B$38:$D$47,3,0),IF($B18="SK 3",VLOOKUP(V$4,'Võistluste järjestused'!$B$52:$D$61,3,0),"")))))</f>
      </c>
      <c r="W18" s="44">
        <f>IF(ISNA(IF($B18="SK ALG",VLOOKUP(W$4,'Võistluste järjestused'!$B$11:$D$18,3,0),IF($B18="SK 1",VLOOKUP(W$4,'Võistluste järjestused'!$B$23:$D$33,3,0),IF($B18="SK 2",VLOOKUP(W$4,'Võistluste järjestused'!$B$38:$D$47,3,0),IF($B18="SK 3",VLOOKUP(W$4,'Võistluste järjestused'!$B$52:$D$61,3,0),""))))),"",IF($B18="SK ALG",VLOOKUP(W$4,'Võistluste järjestused'!$B$11:$D$18,3,0),IF($B18="SK 1",VLOOKUP(W$4,'Võistluste järjestused'!$B$23:$D$33,3,0),IF($B18="SK 2",VLOOKUP(W$4,'Võistluste järjestused'!$B$38:$D$47,3,0),IF($B18="SK 3",VLOOKUP(W$4,'Võistluste järjestused'!$B$52:$D$61,3,0),"")))))</f>
      </c>
      <c r="X18" s="44">
        <f>IF(ISNA(IF($B18="SK ALG",VLOOKUP(X$4,'Võistluste järjestused'!$B$11:$D$18,3,0),IF($B18="SK 1",VLOOKUP(X$4,'Võistluste järjestused'!$B$23:$D$33,3,0),IF($B18="SK 2",VLOOKUP(X$4,'Võistluste järjestused'!$B$38:$D$47,3,0),IF($B18="SK 3",VLOOKUP(X$4,'Võistluste järjestused'!$B$52:$D$61,3,0),""))))),"",IF($B18="SK ALG",VLOOKUP(X$4,'Võistluste järjestused'!$B$11:$D$18,3,0),IF($B18="SK 1",VLOOKUP(X$4,'Võistluste järjestused'!$B$23:$D$33,3,0),IF($B18="SK 2",VLOOKUP(X$4,'Võistluste järjestused'!$B$38:$D$47,3,0),IF($B18="SK 3",VLOOKUP(X$4,'Võistluste järjestused'!$B$52:$D$61,3,0),"")))))</f>
      </c>
      <c r="Y18" s="44">
        <f>IF(ISNA(IF($B18="SK ALG",VLOOKUP(Y$4,'Võistluste järjestused'!$B$11:$D$18,3,0),IF($B18="SK 1",VLOOKUP(Y$4,'Võistluste järjestused'!$B$23:$D$33,3,0),IF($B18="SK 2",VLOOKUP(Y$4,'Võistluste järjestused'!$B$38:$D$47,3,0),IF($B18="SK 3",VLOOKUP(Y$4,'Võistluste järjestused'!$B$52:$D$61,3,0),""))))),"",IF($B18="SK ALG",VLOOKUP(Y$4,'Võistluste järjestused'!$B$11:$D$18,3,0),IF($B18="SK 1",VLOOKUP(Y$4,'Võistluste järjestused'!$B$23:$D$33,3,0),IF($B18="SK 2",VLOOKUP(Y$4,'Võistluste järjestused'!$B$38:$D$47,3,0),IF($B18="SK 3",VLOOKUP(Y$4,'Võistluste järjestused'!$B$52:$D$61,3,0),"")))))</f>
      </c>
      <c r="Z18" s="44">
        <f>IF(ISNA(IF($B18="SK ALG",VLOOKUP(Z$4,'Võistluste järjestused'!$B$11:$D$18,3,0),IF($B18="SK 1",VLOOKUP(Z$4,'Võistluste järjestused'!$B$23:$D$33,3,0),IF($B18="SK 2",VLOOKUP(Z$4,'Võistluste järjestused'!$B$38:$D$47,3,0),IF($B18="SK 3",VLOOKUP(Z$4,'Võistluste järjestused'!$B$52:$D$61,3,0),""))))),"",IF($B18="SK ALG",VLOOKUP(Z$4,'Võistluste järjestused'!$B$11:$D$18,3,0),IF($B18="SK 1",VLOOKUP(Z$4,'Võistluste järjestused'!$B$23:$D$33,3,0),IF($B18="SK 2",VLOOKUP(Z$4,'Võistluste järjestused'!$B$38:$D$47,3,0),IF($B18="SK 3",VLOOKUP(Z$4,'Võistluste järjestused'!$B$52:$D$61,3,0),"")))))</f>
      </c>
      <c r="AA18" s="44">
        <f>IF(ISNA(IF($B18="SK ALG",VLOOKUP(AA$4,'Võistluste järjestused'!$B$11:$D$18,3,0),IF($B18="SK 1",VLOOKUP(AA$4,'Võistluste järjestused'!$B$23:$D$33,3,0),IF($B18="SK 2",VLOOKUP(AA$4,'Võistluste järjestused'!$B$38:$D$47,3,0),IF($B18="SK 3",VLOOKUP(AA$4,'Võistluste järjestused'!$B$52:$D$61,3,0),""))))),"",IF($B18="SK ALG",VLOOKUP(AA$4,'Võistluste järjestused'!$B$11:$D$18,3,0),IF($B18="SK 1",VLOOKUP(AA$4,'Võistluste järjestused'!$B$23:$D$33,3,0),IF($B18="SK 2",VLOOKUP(AA$4,'Võistluste järjestused'!$B$38:$D$47,3,0),IF($B18="SK 3",VLOOKUP(AA$4,'Võistluste järjestused'!$B$52:$D$61,3,0),"")))))</f>
      </c>
      <c r="AB18" s="44">
        <f>IF(ISNA(IF($B18="SK ALG",VLOOKUP(AB$4,'Võistluste järjestused'!$B$11:$D$18,3,0),IF($B18="SK 1",VLOOKUP(AB$4,'Võistluste järjestused'!$B$23:$D$33,3,0),IF($B18="SK 2",VLOOKUP(AB$4,'Võistluste järjestused'!$B$38:$D$47,3,0),IF($B18="SK 3",VLOOKUP(AB$4,'Võistluste järjestused'!$B$52:$D$61,3,0),""))))),"",IF($B18="SK ALG",VLOOKUP(AB$4,'Võistluste järjestused'!$B$11:$D$18,3,0),IF($B18="SK 1",VLOOKUP(AB$4,'Võistluste järjestused'!$B$23:$D$33,3,0),IF($B18="SK 2",VLOOKUP(AB$4,'Võistluste järjestused'!$B$38:$D$47,3,0),IF($B18="SK 3",VLOOKUP(AB$4,'Võistluste järjestused'!$B$52:$D$61,3,0),"")))))</f>
      </c>
      <c r="AC18" s="44">
        <f>IF(ISNA(IF($B18="SK ALG",VLOOKUP(AC$4,'Võistluste järjestused'!$B$11:$D$18,3,0),IF($B18="SK 1",VLOOKUP(AC$4,'Võistluste järjestused'!$B$23:$D$33,3,0),IF($B18="SK 2",VLOOKUP(AC$4,'Võistluste järjestused'!$B$38:$D$47,3,0),IF($B18="SK 3",VLOOKUP(AC$4,'Võistluste järjestused'!$B$52:$D$61,3,0),""))))),"",IF($B18="SK ALG",VLOOKUP(AC$4,'Võistluste järjestused'!$B$11:$D$18,3,0),IF($B18="SK 1",VLOOKUP(AC$4,'Võistluste järjestused'!$B$23:$D$33,3,0),IF($B18="SK 2",VLOOKUP(AC$4,'Võistluste järjestused'!$B$38:$D$47,3,0),IF($B18="SK 3",VLOOKUP(AC$4,'Võistluste järjestused'!$B$52:$D$61,3,0),"")))))</f>
      </c>
      <c r="AD18" s="45"/>
      <c r="AE18" s="45"/>
      <c r="AF18" s="45"/>
      <c r="AG18" s="45"/>
      <c r="AH18" s="30">
        <f t="shared" si="6"/>
      </c>
      <c r="AI18" s="46">
        <f>IF(B18="","",IF(AH18="DSQ",0,H18*S18+I18*T18+J18*U18+K18*V18+L18*W18+M18*X18+N18*Y18+O18*Z18+P18*AA18+Q18*AB18+R18*AC18+AE18*'Võistluste järjestused'!D76))</f>
      </c>
      <c r="AJ18" s="30">
        <f>IF(B18="","",IF(AI18&gt;=VLOOKUP(B18,'Võistluste järjestused'!$F$18:$J$21,3,0),"I järk",IF(AI18&gt;=VLOOKUP(B18,'Võistluste järjestused'!$F$18:$J$21,4,0),"II järk",IF(AI18&gt;=VLOOKUP(B18,'Võistluste järjestused'!$F$18:$J$21,5,0),"III järk",0))))</f>
      </c>
      <c r="AK18" s="30">
        <f t="shared" si="0"/>
      </c>
      <c r="AL18" s="30">
        <f t="shared" si="1"/>
      </c>
      <c r="AM18" s="30">
        <f t="shared" si="2"/>
      </c>
      <c r="AN18" s="30">
        <f t="shared" si="3"/>
      </c>
      <c r="AO18" s="30">
        <f t="shared" si="4"/>
      </c>
      <c r="AP18" s="47">
        <f t="shared" si="5"/>
      </c>
      <c r="AR18" s="37"/>
    </row>
    <row r="19" spans="1:44" ht="25.5">
      <c r="A19" s="30">
        <v>15</v>
      </c>
      <c r="B19" s="40"/>
      <c r="C19" s="41"/>
      <c r="D19" s="41"/>
      <c r="E19" s="41"/>
      <c r="F19" s="40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>
        <f>IF(ISNA(IF($B19="SK ALG",VLOOKUP(S$4,'Võistluste järjestused'!$B$11:$D$18,3,0),IF($B19="SK 1",VLOOKUP(S$4,'Võistluste järjestused'!$B$23:$D$33,3,0),IF($B19="SK 2",VLOOKUP(S$4,'Võistluste järjestused'!$B$38:$D$47,3,0),IF($B19="SK 3",VLOOKUP(S$4,'Võistluste järjestused'!$B$52:$D$61,3,0),""))))),"",IF($B19="SK ALG",VLOOKUP(S$4,'Võistluste järjestused'!$B$11:$D$18,3,0),IF($B19="SK 1",VLOOKUP(S$4,'Võistluste järjestused'!$B$23:$D$33,3,0),IF($B19="SK 2",VLOOKUP(S$4,'Võistluste järjestused'!$B$38:$D$47,3,0),IF($B19="SK 3",VLOOKUP(S$4,'Võistluste järjestused'!$B$52:$D$61,3,0),"")))))</f>
      </c>
      <c r="T19" s="44">
        <f>IF(ISNA(IF($B19="SK ALG",VLOOKUP(T$4,'Võistluste järjestused'!$B$11:$D$18,3,0),IF($B19="SK 1",VLOOKUP(T$4,'Võistluste järjestused'!$B$23:$D$33,3,0),IF($B19="SK 2",VLOOKUP(T$4,'Võistluste järjestused'!$B$38:$D$47,3,0),IF($B19="SK 3",VLOOKUP(T$4,'Võistluste järjestused'!$B$52:$D$61,3,0),""))))),"",IF($B19="SK ALG",VLOOKUP(T$4,'Võistluste järjestused'!$B$11:$D$18,3,0),IF($B19="SK 1",VLOOKUP(T$4,'Võistluste järjestused'!$B$23:$D$33,3,0),IF($B19="SK 2",VLOOKUP(T$4,'Võistluste järjestused'!$B$38:$D$47,3,0),IF($B19="SK 3",VLOOKUP(T$4,'Võistluste järjestused'!$B$52:$D$61,3,0),"")))))</f>
      </c>
      <c r="U19" s="44">
        <f>IF(ISNA(IF($B19="SK ALG",VLOOKUP(U$4,'Võistluste järjestused'!$B$11:$D$18,3,0),IF($B19="SK 1",VLOOKUP(U$4,'Võistluste järjestused'!$B$23:$D$33,3,0),IF($B19="SK 2",VLOOKUP(U$4,'Võistluste järjestused'!$B$38:$D$47,3,0),IF($B19="SK 3",VLOOKUP(U$4,'Võistluste järjestused'!$B$52:$D$61,3,0),""))))),"",IF($B19="SK ALG",VLOOKUP(U$4,'Võistluste järjestused'!$B$11:$D$18,3,0),IF($B19="SK 1",VLOOKUP(U$4,'Võistluste järjestused'!$B$23:$D$33,3,0),IF($B19="SK 2",VLOOKUP(U$4,'Võistluste järjestused'!$B$38:$D$47,3,0),IF($B19="SK 3",VLOOKUP(U$4,'Võistluste järjestused'!$B$52:$D$61,3,0),"")))))</f>
      </c>
      <c r="V19" s="44">
        <f>IF(ISNA(IF($B19="SK ALG",VLOOKUP(V$4,'Võistluste järjestused'!$B$11:$D$18,3,0),IF($B19="SK 1",VLOOKUP(V$4,'Võistluste järjestused'!$B$23:$D$33,3,0),IF($B19="SK 2",VLOOKUP(V$4,'Võistluste järjestused'!$B$38:$D$47,3,0),IF($B19="SK 3",VLOOKUP(V$4,'Võistluste järjestused'!$B$52:$D$61,3,0),""))))),"",IF($B19="SK ALG",VLOOKUP(V$4,'Võistluste järjestused'!$B$11:$D$18,3,0),IF($B19="SK 1",VLOOKUP(V$4,'Võistluste järjestused'!$B$23:$D$33,3,0),IF($B19="SK 2",VLOOKUP(V$4,'Võistluste järjestused'!$B$38:$D$47,3,0),IF($B19="SK 3",VLOOKUP(V$4,'Võistluste järjestused'!$B$52:$D$61,3,0),"")))))</f>
      </c>
      <c r="W19" s="44">
        <f>IF(ISNA(IF($B19="SK ALG",VLOOKUP(W$4,'Võistluste järjestused'!$B$11:$D$18,3,0),IF($B19="SK 1",VLOOKUP(W$4,'Võistluste järjestused'!$B$23:$D$33,3,0),IF($B19="SK 2",VLOOKUP(W$4,'Võistluste järjestused'!$B$38:$D$47,3,0),IF($B19="SK 3",VLOOKUP(W$4,'Võistluste järjestused'!$B$52:$D$61,3,0),""))))),"",IF($B19="SK ALG",VLOOKUP(W$4,'Võistluste järjestused'!$B$11:$D$18,3,0),IF($B19="SK 1",VLOOKUP(W$4,'Võistluste järjestused'!$B$23:$D$33,3,0),IF($B19="SK 2",VLOOKUP(W$4,'Võistluste järjestused'!$B$38:$D$47,3,0),IF($B19="SK 3",VLOOKUP(W$4,'Võistluste järjestused'!$B$52:$D$61,3,0),"")))))</f>
      </c>
      <c r="X19" s="44">
        <f>IF(ISNA(IF($B19="SK ALG",VLOOKUP(X$4,'Võistluste järjestused'!$B$11:$D$18,3,0),IF($B19="SK 1",VLOOKUP(X$4,'Võistluste järjestused'!$B$23:$D$33,3,0),IF($B19="SK 2",VLOOKUP(X$4,'Võistluste järjestused'!$B$38:$D$47,3,0),IF($B19="SK 3",VLOOKUP(X$4,'Võistluste järjestused'!$B$52:$D$61,3,0),""))))),"",IF($B19="SK ALG",VLOOKUP(X$4,'Võistluste järjestused'!$B$11:$D$18,3,0),IF($B19="SK 1",VLOOKUP(X$4,'Võistluste järjestused'!$B$23:$D$33,3,0),IF($B19="SK 2",VLOOKUP(X$4,'Võistluste järjestused'!$B$38:$D$47,3,0),IF($B19="SK 3",VLOOKUP(X$4,'Võistluste järjestused'!$B$52:$D$61,3,0),"")))))</f>
      </c>
      <c r="Y19" s="44">
        <f>IF(ISNA(IF($B19="SK ALG",VLOOKUP(Y$4,'Võistluste järjestused'!$B$11:$D$18,3,0),IF($B19="SK 1",VLOOKUP(Y$4,'Võistluste järjestused'!$B$23:$D$33,3,0),IF($B19="SK 2",VLOOKUP(Y$4,'Võistluste järjestused'!$B$38:$D$47,3,0),IF($B19="SK 3",VLOOKUP(Y$4,'Võistluste järjestused'!$B$52:$D$61,3,0),""))))),"",IF($B19="SK ALG",VLOOKUP(Y$4,'Võistluste järjestused'!$B$11:$D$18,3,0),IF($B19="SK 1",VLOOKUP(Y$4,'Võistluste järjestused'!$B$23:$D$33,3,0),IF($B19="SK 2",VLOOKUP(Y$4,'Võistluste järjestused'!$B$38:$D$47,3,0),IF($B19="SK 3",VLOOKUP(Y$4,'Võistluste järjestused'!$B$52:$D$61,3,0),"")))))</f>
      </c>
      <c r="Z19" s="44">
        <f>IF(ISNA(IF($B19="SK ALG",VLOOKUP(Z$4,'Võistluste järjestused'!$B$11:$D$18,3,0),IF($B19="SK 1",VLOOKUP(Z$4,'Võistluste järjestused'!$B$23:$D$33,3,0),IF($B19="SK 2",VLOOKUP(Z$4,'Võistluste järjestused'!$B$38:$D$47,3,0),IF($B19="SK 3",VLOOKUP(Z$4,'Võistluste järjestused'!$B$52:$D$61,3,0),""))))),"",IF($B19="SK ALG",VLOOKUP(Z$4,'Võistluste järjestused'!$B$11:$D$18,3,0),IF($B19="SK 1",VLOOKUP(Z$4,'Võistluste järjestused'!$B$23:$D$33,3,0),IF($B19="SK 2",VLOOKUP(Z$4,'Võistluste järjestused'!$B$38:$D$47,3,0),IF($B19="SK 3",VLOOKUP(Z$4,'Võistluste järjestused'!$B$52:$D$61,3,0),"")))))</f>
      </c>
      <c r="AA19" s="44">
        <f>IF(ISNA(IF($B19="SK ALG",VLOOKUP(AA$4,'Võistluste järjestused'!$B$11:$D$18,3,0),IF($B19="SK 1",VLOOKUP(AA$4,'Võistluste järjestused'!$B$23:$D$33,3,0),IF($B19="SK 2",VLOOKUP(AA$4,'Võistluste järjestused'!$B$38:$D$47,3,0),IF($B19="SK 3",VLOOKUP(AA$4,'Võistluste järjestused'!$B$52:$D$61,3,0),""))))),"",IF($B19="SK ALG",VLOOKUP(AA$4,'Võistluste järjestused'!$B$11:$D$18,3,0),IF($B19="SK 1",VLOOKUP(AA$4,'Võistluste järjestused'!$B$23:$D$33,3,0),IF($B19="SK 2",VLOOKUP(AA$4,'Võistluste järjestused'!$B$38:$D$47,3,0),IF($B19="SK 3",VLOOKUP(AA$4,'Võistluste järjestused'!$B$52:$D$61,3,0),"")))))</f>
      </c>
      <c r="AB19" s="44">
        <f>IF(ISNA(IF($B19="SK ALG",VLOOKUP(AB$4,'Võistluste järjestused'!$B$11:$D$18,3,0),IF($B19="SK 1",VLOOKUP(AB$4,'Võistluste järjestused'!$B$23:$D$33,3,0),IF($B19="SK 2",VLOOKUP(AB$4,'Võistluste järjestused'!$B$38:$D$47,3,0),IF($B19="SK 3",VLOOKUP(AB$4,'Võistluste järjestused'!$B$52:$D$61,3,0),""))))),"",IF($B19="SK ALG",VLOOKUP(AB$4,'Võistluste järjestused'!$B$11:$D$18,3,0),IF($B19="SK 1",VLOOKUP(AB$4,'Võistluste järjestused'!$B$23:$D$33,3,0),IF($B19="SK 2",VLOOKUP(AB$4,'Võistluste järjestused'!$B$38:$D$47,3,0),IF($B19="SK 3",VLOOKUP(AB$4,'Võistluste järjestused'!$B$52:$D$61,3,0),"")))))</f>
      </c>
      <c r="AC19" s="44">
        <f>IF(ISNA(IF($B19="SK ALG",VLOOKUP(AC$4,'Võistluste järjestused'!$B$11:$D$18,3,0),IF($B19="SK 1",VLOOKUP(AC$4,'Võistluste järjestused'!$B$23:$D$33,3,0),IF($B19="SK 2",VLOOKUP(AC$4,'Võistluste järjestused'!$B$38:$D$47,3,0),IF($B19="SK 3",VLOOKUP(AC$4,'Võistluste järjestused'!$B$52:$D$61,3,0),""))))),"",IF($B19="SK ALG",VLOOKUP(AC$4,'Võistluste järjestused'!$B$11:$D$18,3,0),IF($B19="SK 1",VLOOKUP(AC$4,'Võistluste järjestused'!$B$23:$D$33,3,0),IF($B19="SK 2",VLOOKUP(AC$4,'Võistluste järjestused'!$B$38:$D$47,3,0),IF($B19="SK 3",VLOOKUP(AC$4,'Võistluste järjestused'!$B$52:$D$61,3,0),"")))))</f>
      </c>
      <c r="AD19" s="45"/>
      <c r="AE19" s="45"/>
      <c r="AF19" s="45"/>
      <c r="AG19" s="45"/>
      <c r="AH19" s="30">
        <f t="shared" si="6"/>
      </c>
      <c r="AI19" s="46">
        <f>IF(B19="","",IF(AH19="DSQ",0,H19*S19+I19*T19+J19*U19+K19*V19+L19*W19+M19*X19+N19*Y19+O19*Z19+P19*AA19+Q19*AB19+R19*AC19+AE19*'Võistluste järjestused'!D77))</f>
      </c>
      <c r="AJ19" s="30">
        <f>IF(B19="","",IF(AI19&gt;=VLOOKUP(B19,'Võistluste järjestused'!$F$18:$J$21,3,0),"I järk",IF(AI19&gt;=VLOOKUP(B19,'Võistluste järjestused'!$F$18:$J$21,4,0),"II järk",IF(AI19&gt;=VLOOKUP(B19,'Võistluste järjestused'!$F$18:$J$21,5,0),"III järk",0))))</f>
      </c>
      <c r="AK19" s="30">
        <f t="shared" si="0"/>
      </c>
      <c r="AL19" s="30">
        <f t="shared" si="1"/>
      </c>
      <c r="AM19" s="30">
        <f t="shared" si="2"/>
      </c>
      <c r="AN19" s="30">
        <f t="shared" si="3"/>
      </c>
      <c r="AO19" s="30">
        <f t="shared" si="4"/>
      </c>
      <c r="AP19" s="47">
        <f t="shared" si="5"/>
      </c>
      <c r="AR19" s="37"/>
    </row>
    <row r="20" spans="1:44" ht="25.5">
      <c r="A20" s="30">
        <v>16</v>
      </c>
      <c r="B20" s="40"/>
      <c r="C20" s="41"/>
      <c r="D20" s="41"/>
      <c r="E20" s="41"/>
      <c r="F20" s="40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>
        <f>IF(ISNA(IF($B20="SK ALG",VLOOKUP(S$4,'Võistluste järjestused'!$B$11:$D$18,3,0),IF($B20="SK 1",VLOOKUP(S$4,'Võistluste järjestused'!$B$23:$D$33,3,0),IF($B20="SK 2",VLOOKUP(S$4,'Võistluste järjestused'!$B$38:$D$47,3,0),IF($B20="SK 3",VLOOKUP(S$4,'Võistluste järjestused'!$B$52:$D$61,3,0),""))))),"",IF($B20="SK ALG",VLOOKUP(S$4,'Võistluste järjestused'!$B$11:$D$18,3,0),IF($B20="SK 1",VLOOKUP(S$4,'Võistluste järjestused'!$B$23:$D$33,3,0),IF($B20="SK 2",VLOOKUP(S$4,'Võistluste järjestused'!$B$38:$D$47,3,0),IF($B20="SK 3",VLOOKUP(S$4,'Võistluste järjestused'!$B$52:$D$61,3,0),"")))))</f>
      </c>
      <c r="T20" s="44">
        <f>IF(ISNA(IF($B20="SK ALG",VLOOKUP(T$4,'Võistluste järjestused'!$B$11:$D$18,3,0),IF($B20="SK 1",VLOOKUP(T$4,'Võistluste järjestused'!$B$23:$D$33,3,0),IF($B20="SK 2",VLOOKUP(T$4,'Võistluste järjestused'!$B$38:$D$47,3,0),IF($B20="SK 3",VLOOKUP(T$4,'Võistluste järjestused'!$B$52:$D$61,3,0),""))))),"",IF($B20="SK ALG",VLOOKUP(T$4,'Võistluste järjestused'!$B$11:$D$18,3,0),IF($B20="SK 1",VLOOKUP(T$4,'Võistluste järjestused'!$B$23:$D$33,3,0),IF($B20="SK 2",VLOOKUP(T$4,'Võistluste järjestused'!$B$38:$D$47,3,0),IF($B20="SK 3",VLOOKUP(T$4,'Võistluste järjestused'!$B$52:$D$61,3,0),"")))))</f>
      </c>
      <c r="U20" s="44">
        <f>IF(ISNA(IF($B20="SK ALG",VLOOKUP(U$4,'Võistluste järjestused'!$B$11:$D$18,3,0),IF($B20="SK 1",VLOOKUP(U$4,'Võistluste järjestused'!$B$23:$D$33,3,0),IF($B20="SK 2",VLOOKUP(U$4,'Võistluste järjestused'!$B$38:$D$47,3,0),IF($B20="SK 3",VLOOKUP(U$4,'Võistluste järjestused'!$B$52:$D$61,3,0),""))))),"",IF($B20="SK ALG",VLOOKUP(U$4,'Võistluste järjestused'!$B$11:$D$18,3,0),IF($B20="SK 1",VLOOKUP(U$4,'Võistluste järjestused'!$B$23:$D$33,3,0),IF($B20="SK 2",VLOOKUP(U$4,'Võistluste järjestused'!$B$38:$D$47,3,0),IF($B20="SK 3",VLOOKUP(U$4,'Võistluste järjestused'!$B$52:$D$61,3,0),"")))))</f>
      </c>
      <c r="V20" s="44">
        <f>IF(ISNA(IF($B20="SK ALG",VLOOKUP(V$4,'Võistluste järjestused'!$B$11:$D$18,3,0),IF($B20="SK 1",VLOOKUP(V$4,'Võistluste järjestused'!$B$23:$D$33,3,0),IF($B20="SK 2",VLOOKUP(V$4,'Võistluste järjestused'!$B$38:$D$47,3,0),IF($B20="SK 3",VLOOKUP(V$4,'Võistluste järjestused'!$B$52:$D$61,3,0),""))))),"",IF($B20="SK ALG",VLOOKUP(V$4,'Võistluste järjestused'!$B$11:$D$18,3,0),IF($B20="SK 1",VLOOKUP(V$4,'Võistluste järjestused'!$B$23:$D$33,3,0),IF($B20="SK 2",VLOOKUP(V$4,'Võistluste järjestused'!$B$38:$D$47,3,0),IF($B20="SK 3",VLOOKUP(V$4,'Võistluste järjestused'!$B$52:$D$61,3,0),"")))))</f>
      </c>
      <c r="W20" s="44">
        <f>IF(ISNA(IF($B20="SK ALG",VLOOKUP(W$4,'Võistluste järjestused'!$B$11:$D$18,3,0),IF($B20="SK 1",VLOOKUP(W$4,'Võistluste järjestused'!$B$23:$D$33,3,0),IF($B20="SK 2",VLOOKUP(W$4,'Võistluste järjestused'!$B$38:$D$47,3,0),IF($B20="SK 3",VLOOKUP(W$4,'Võistluste järjestused'!$B$52:$D$61,3,0),""))))),"",IF($B20="SK ALG",VLOOKUP(W$4,'Võistluste järjestused'!$B$11:$D$18,3,0),IF($B20="SK 1",VLOOKUP(W$4,'Võistluste järjestused'!$B$23:$D$33,3,0),IF($B20="SK 2",VLOOKUP(W$4,'Võistluste järjestused'!$B$38:$D$47,3,0),IF($B20="SK 3",VLOOKUP(W$4,'Võistluste järjestused'!$B$52:$D$61,3,0),"")))))</f>
      </c>
      <c r="X20" s="44">
        <f>IF(ISNA(IF($B20="SK ALG",VLOOKUP(X$4,'Võistluste järjestused'!$B$11:$D$18,3,0),IF($B20="SK 1",VLOOKUP(X$4,'Võistluste järjestused'!$B$23:$D$33,3,0),IF($B20="SK 2",VLOOKUP(X$4,'Võistluste järjestused'!$B$38:$D$47,3,0),IF($B20="SK 3",VLOOKUP(X$4,'Võistluste järjestused'!$B$52:$D$61,3,0),""))))),"",IF($B20="SK ALG",VLOOKUP(X$4,'Võistluste järjestused'!$B$11:$D$18,3,0),IF($B20="SK 1",VLOOKUP(X$4,'Võistluste järjestused'!$B$23:$D$33,3,0),IF($B20="SK 2",VLOOKUP(X$4,'Võistluste järjestused'!$B$38:$D$47,3,0),IF($B20="SK 3",VLOOKUP(X$4,'Võistluste järjestused'!$B$52:$D$61,3,0),"")))))</f>
      </c>
      <c r="Y20" s="44">
        <f>IF(ISNA(IF($B20="SK ALG",VLOOKUP(Y$4,'Võistluste järjestused'!$B$11:$D$18,3,0),IF($B20="SK 1",VLOOKUP(Y$4,'Võistluste järjestused'!$B$23:$D$33,3,0),IF($B20="SK 2",VLOOKUP(Y$4,'Võistluste järjestused'!$B$38:$D$47,3,0),IF($B20="SK 3",VLOOKUP(Y$4,'Võistluste järjestused'!$B$52:$D$61,3,0),""))))),"",IF($B20="SK ALG",VLOOKUP(Y$4,'Võistluste järjestused'!$B$11:$D$18,3,0),IF($B20="SK 1",VLOOKUP(Y$4,'Võistluste järjestused'!$B$23:$D$33,3,0),IF($B20="SK 2",VLOOKUP(Y$4,'Võistluste järjestused'!$B$38:$D$47,3,0),IF($B20="SK 3",VLOOKUP(Y$4,'Võistluste järjestused'!$B$52:$D$61,3,0),"")))))</f>
      </c>
      <c r="Z20" s="44">
        <f>IF(ISNA(IF($B20="SK ALG",VLOOKUP(Z$4,'Võistluste järjestused'!$B$11:$D$18,3,0),IF($B20="SK 1",VLOOKUP(Z$4,'Võistluste järjestused'!$B$23:$D$33,3,0),IF($B20="SK 2",VLOOKUP(Z$4,'Võistluste järjestused'!$B$38:$D$47,3,0),IF($B20="SK 3",VLOOKUP(Z$4,'Võistluste järjestused'!$B$52:$D$61,3,0),""))))),"",IF($B20="SK ALG",VLOOKUP(Z$4,'Võistluste järjestused'!$B$11:$D$18,3,0),IF($B20="SK 1",VLOOKUP(Z$4,'Võistluste järjestused'!$B$23:$D$33,3,0),IF($B20="SK 2",VLOOKUP(Z$4,'Võistluste järjestused'!$B$38:$D$47,3,0),IF($B20="SK 3",VLOOKUP(Z$4,'Võistluste järjestused'!$B$52:$D$61,3,0),"")))))</f>
      </c>
      <c r="AA20" s="44">
        <f>IF(ISNA(IF($B20="SK ALG",VLOOKUP(AA$4,'Võistluste järjestused'!$B$11:$D$18,3,0),IF($B20="SK 1",VLOOKUP(AA$4,'Võistluste järjestused'!$B$23:$D$33,3,0),IF($B20="SK 2",VLOOKUP(AA$4,'Võistluste järjestused'!$B$38:$D$47,3,0),IF($B20="SK 3",VLOOKUP(AA$4,'Võistluste järjestused'!$B$52:$D$61,3,0),""))))),"",IF($B20="SK ALG",VLOOKUP(AA$4,'Võistluste järjestused'!$B$11:$D$18,3,0),IF($B20="SK 1",VLOOKUP(AA$4,'Võistluste järjestused'!$B$23:$D$33,3,0),IF($B20="SK 2",VLOOKUP(AA$4,'Võistluste järjestused'!$B$38:$D$47,3,0),IF($B20="SK 3",VLOOKUP(AA$4,'Võistluste järjestused'!$B$52:$D$61,3,0),"")))))</f>
      </c>
      <c r="AB20" s="44">
        <f>IF(ISNA(IF($B20="SK ALG",VLOOKUP(AB$4,'Võistluste järjestused'!$B$11:$D$18,3,0),IF($B20="SK 1",VLOOKUP(AB$4,'Võistluste järjestused'!$B$23:$D$33,3,0),IF($B20="SK 2",VLOOKUP(AB$4,'Võistluste järjestused'!$B$38:$D$47,3,0),IF($B20="SK 3",VLOOKUP(AB$4,'Võistluste järjestused'!$B$52:$D$61,3,0),""))))),"",IF($B20="SK ALG",VLOOKUP(AB$4,'Võistluste järjestused'!$B$11:$D$18,3,0),IF($B20="SK 1",VLOOKUP(AB$4,'Võistluste järjestused'!$B$23:$D$33,3,0),IF($B20="SK 2",VLOOKUP(AB$4,'Võistluste järjestused'!$B$38:$D$47,3,0),IF($B20="SK 3",VLOOKUP(AB$4,'Võistluste järjestused'!$B$52:$D$61,3,0),"")))))</f>
      </c>
      <c r="AC20" s="44">
        <f>IF(ISNA(IF($B20="SK ALG",VLOOKUP(AC$4,'Võistluste järjestused'!$B$11:$D$18,3,0),IF($B20="SK 1",VLOOKUP(AC$4,'Võistluste järjestused'!$B$23:$D$33,3,0),IF($B20="SK 2",VLOOKUP(AC$4,'Võistluste järjestused'!$B$38:$D$47,3,0),IF($B20="SK 3",VLOOKUP(AC$4,'Võistluste järjestused'!$B$52:$D$61,3,0),""))))),"",IF($B20="SK ALG",VLOOKUP(AC$4,'Võistluste järjestused'!$B$11:$D$18,3,0),IF($B20="SK 1",VLOOKUP(AC$4,'Võistluste järjestused'!$B$23:$D$33,3,0),IF($B20="SK 2",VLOOKUP(AC$4,'Võistluste järjestused'!$B$38:$D$47,3,0),IF($B20="SK 3",VLOOKUP(AC$4,'Võistluste järjestused'!$B$52:$D$61,3,0),"")))))</f>
      </c>
      <c r="AD20" s="45"/>
      <c r="AE20" s="45"/>
      <c r="AF20" s="45"/>
      <c r="AG20" s="45"/>
      <c r="AH20" s="30">
        <f t="shared" si="6"/>
      </c>
      <c r="AI20" s="46">
        <f>IF(B20="","",IF(AH20="DSQ",0,H20*S20+I20*T20+J20*U20+K20*V20+L20*W20+M20*X20+N20*Y20+O20*Z20+P20*AA20+Q20*AB20+R20*AC20+AE20*'Võistluste järjestused'!D78))</f>
      </c>
      <c r="AJ20" s="30">
        <f>IF(B20="","",IF(AI20&gt;=VLOOKUP(B20,'Võistluste järjestused'!$F$18:$J$21,3,0),"I järk",IF(AI20&gt;=VLOOKUP(B20,'Võistluste järjestused'!$F$18:$J$21,4,0),"II järk",IF(AI20&gt;=VLOOKUP(B20,'Võistluste järjestused'!$F$18:$J$21,5,0),"III järk",0))))</f>
      </c>
      <c r="AK20" s="30">
        <f t="shared" si="0"/>
      </c>
      <c r="AL20" s="30">
        <f t="shared" si="1"/>
      </c>
      <c r="AM20" s="30">
        <f t="shared" si="2"/>
      </c>
      <c r="AN20" s="30">
        <f t="shared" si="3"/>
      </c>
      <c r="AO20" s="30">
        <f t="shared" si="4"/>
      </c>
      <c r="AP20" s="47">
        <f t="shared" si="5"/>
      </c>
      <c r="AR20" s="37"/>
    </row>
    <row r="21" spans="1:44" ht="25.5">
      <c r="A21" s="30">
        <v>17</v>
      </c>
      <c r="B21" s="40"/>
      <c r="C21" s="41"/>
      <c r="D21" s="41"/>
      <c r="E21" s="41"/>
      <c r="F21" s="40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>
        <f>IF(ISNA(IF($B21="SK ALG",VLOOKUP(S$4,'Võistluste järjestused'!$B$11:$D$18,3,0),IF($B21="SK 1",VLOOKUP(S$4,'Võistluste järjestused'!$B$23:$D$33,3,0),IF($B21="SK 2",VLOOKUP(S$4,'Võistluste järjestused'!$B$38:$D$47,3,0),IF($B21="SK 3",VLOOKUP(S$4,'Võistluste järjestused'!$B$52:$D$61,3,0),""))))),"",IF($B21="SK ALG",VLOOKUP(S$4,'Võistluste järjestused'!$B$11:$D$18,3,0),IF($B21="SK 1",VLOOKUP(S$4,'Võistluste järjestused'!$B$23:$D$33,3,0),IF($B21="SK 2",VLOOKUP(S$4,'Võistluste järjestused'!$B$38:$D$47,3,0),IF($B21="SK 3",VLOOKUP(S$4,'Võistluste järjestused'!$B$52:$D$61,3,0),"")))))</f>
      </c>
      <c r="T21" s="44">
        <f>IF(ISNA(IF($B21="SK ALG",VLOOKUP(T$4,'Võistluste järjestused'!$B$11:$D$18,3,0),IF($B21="SK 1",VLOOKUP(T$4,'Võistluste järjestused'!$B$23:$D$33,3,0),IF($B21="SK 2",VLOOKUP(T$4,'Võistluste järjestused'!$B$38:$D$47,3,0),IF($B21="SK 3",VLOOKUP(T$4,'Võistluste järjestused'!$B$52:$D$61,3,0),""))))),"",IF($B21="SK ALG",VLOOKUP(T$4,'Võistluste järjestused'!$B$11:$D$18,3,0),IF($B21="SK 1",VLOOKUP(T$4,'Võistluste järjestused'!$B$23:$D$33,3,0),IF($B21="SK 2",VLOOKUP(T$4,'Võistluste järjestused'!$B$38:$D$47,3,0),IF($B21="SK 3",VLOOKUP(T$4,'Võistluste järjestused'!$B$52:$D$61,3,0),"")))))</f>
      </c>
      <c r="U21" s="44">
        <f>IF(ISNA(IF($B21="SK ALG",VLOOKUP(U$4,'Võistluste järjestused'!$B$11:$D$18,3,0),IF($B21="SK 1",VLOOKUP(U$4,'Võistluste järjestused'!$B$23:$D$33,3,0),IF($B21="SK 2",VLOOKUP(U$4,'Võistluste järjestused'!$B$38:$D$47,3,0),IF($B21="SK 3",VLOOKUP(U$4,'Võistluste järjestused'!$B$52:$D$61,3,0),""))))),"",IF($B21="SK ALG",VLOOKUP(U$4,'Võistluste järjestused'!$B$11:$D$18,3,0),IF($B21="SK 1",VLOOKUP(U$4,'Võistluste järjestused'!$B$23:$D$33,3,0),IF($B21="SK 2",VLOOKUP(U$4,'Võistluste järjestused'!$B$38:$D$47,3,0),IF($B21="SK 3",VLOOKUP(U$4,'Võistluste järjestused'!$B$52:$D$61,3,0),"")))))</f>
      </c>
      <c r="V21" s="44">
        <f>IF(ISNA(IF($B21="SK ALG",VLOOKUP(V$4,'Võistluste järjestused'!$B$11:$D$18,3,0),IF($B21="SK 1",VLOOKUP(V$4,'Võistluste järjestused'!$B$23:$D$33,3,0),IF($B21="SK 2",VLOOKUP(V$4,'Võistluste järjestused'!$B$38:$D$47,3,0),IF($B21="SK 3",VLOOKUP(V$4,'Võistluste järjestused'!$B$52:$D$61,3,0),""))))),"",IF($B21="SK ALG",VLOOKUP(V$4,'Võistluste järjestused'!$B$11:$D$18,3,0),IF($B21="SK 1",VLOOKUP(V$4,'Võistluste järjestused'!$B$23:$D$33,3,0),IF($B21="SK 2",VLOOKUP(V$4,'Võistluste järjestused'!$B$38:$D$47,3,0),IF($B21="SK 3",VLOOKUP(V$4,'Võistluste järjestused'!$B$52:$D$61,3,0),"")))))</f>
      </c>
      <c r="W21" s="44">
        <f>IF(ISNA(IF($B21="SK ALG",VLOOKUP(W$4,'Võistluste järjestused'!$B$11:$D$18,3,0),IF($B21="SK 1",VLOOKUP(W$4,'Võistluste järjestused'!$B$23:$D$33,3,0),IF($B21="SK 2",VLOOKUP(W$4,'Võistluste järjestused'!$B$38:$D$47,3,0),IF($B21="SK 3",VLOOKUP(W$4,'Võistluste järjestused'!$B$52:$D$61,3,0),""))))),"",IF($B21="SK ALG",VLOOKUP(W$4,'Võistluste järjestused'!$B$11:$D$18,3,0),IF($B21="SK 1",VLOOKUP(W$4,'Võistluste järjestused'!$B$23:$D$33,3,0),IF($B21="SK 2",VLOOKUP(W$4,'Võistluste järjestused'!$B$38:$D$47,3,0),IF($B21="SK 3",VLOOKUP(W$4,'Võistluste järjestused'!$B$52:$D$61,3,0),"")))))</f>
      </c>
      <c r="X21" s="44">
        <f>IF(ISNA(IF($B21="SK ALG",VLOOKUP(X$4,'Võistluste järjestused'!$B$11:$D$18,3,0),IF($B21="SK 1",VLOOKUP(X$4,'Võistluste järjestused'!$B$23:$D$33,3,0),IF($B21="SK 2",VLOOKUP(X$4,'Võistluste järjestused'!$B$38:$D$47,3,0),IF($B21="SK 3",VLOOKUP(X$4,'Võistluste järjestused'!$B$52:$D$61,3,0),""))))),"",IF($B21="SK ALG",VLOOKUP(X$4,'Võistluste järjestused'!$B$11:$D$18,3,0),IF($B21="SK 1",VLOOKUP(X$4,'Võistluste järjestused'!$B$23:$D$33,3,0),IF($B21="SK 2",VLOOKUP(X$4,'Võistluste järjestused'!$B$38:$D$47,3,0),IF($B21="SK 3",VLOOKUP(X$4,'Võistluste järjestused'!$B$52:$D$61,3,0),"")))))</f>
      </c>
      <c r="Y21" s="44">
        <f>IF(ISNA(IF($B21="SK ALG",VLOOKUP(Y$4,'Võistluste järjestused'!$B$11:$D$18,3,0),IF($B21="SK 1",VLOOKUP(Y$4,'Võistluste järjestused'!$B$23:$D$33,3,0),IF($B21="SK 2",VLOOKUP(Y$4,'Võistluste järjestused'!$B$38:$D$47,3,0),IF($B21="SK 3",VLOOKUP(Y$4,'Võistluste järjestused'!$B$52:$D$61,3,0),""))))),"",IF($B21="SK ALG",VLOOKUP(Y$4,'Võistluste järjestused'!$B$11:$D$18,3,0),IF($B21="SK 1",VLOOKUP(Y$4,'Võistluste järjestused'!$B$23:$D$33,3,0),IF($B21="SK 2",VLOOKUP(Y$4,'Võistluste järjestused'!$B$38:$D$47,3,0),IF($B21="SK 3",VLOOKUP(Y$4,'Võistluste järjestused'!$B$52:$D$61,3,0),"")))))</f>
      </c>
      <c r="Z21" s="44">
        <f>IF(ISNA(IF($B21="SK ALG",VLOOKUP(Z$4,'Võistluste järjestused'!$B$11:$D$18,3,0),IF($B21="SK 1",VLOOKUP(Z$4,'Võistluste järjestused'!$B$23:$D$33,3,0),IF($B21="SK 2",VLOOKUP(Z$4,'Võistluste järjestused'!$B$38:$D$47,3,0),IF($B21="SK 3",VLOOKUP(Z$4,'Võistluste järjestused'!$B$52:$D$61,3,0),""))))),"",IF($B21="SK ALG",VLOOKUP(Z$4,'Võistluste järjestused'!$B$11:$D$18,3,0),IF($B21="SK 1",VLOOKUP(Z$4,'Võistluste järjestused'!$B$23:$D$33,3,0),IF($B21="SK 2",VLOOKUP(Z$4,'Võistluste järjestused'!$B$38:$D$47,3,0),IF($B21="SK 3",VLOOKUP(Z$4,'Võistluste järjestused'!$B$52:$D$61,3,0),"")))))</f>
      </c>
      <c r="AA21" s="44">
        <f>IF(ISNA(IF($B21="SK ALG",VLOOKUP(AA$4,'Võistluste järjestused'!$B$11:$D$18,3,0),IF($B21="SK 1",VLOOKUP(AA$4,'Võistluste järjestused'!$B$23:$D$33,3,0),IF($B21="SK 2",VLOOKUP(AA$4,'Võistluste järjestused'!$B$38:$D$47,3,0),IF($B21="SK 3",VLOOKUP(AA$4,'Võistluste järjestused'!$B$52:$D$61,3,0),""))))),"",IF($B21="SK ALG",VLOOKUP(AA$4,'Võistluste järjestused'!$B$11:$D$18,3,0),IF($B21="SK 1",VLOOKUP(AA$4,'Võistluste järjestused'!$B$23:$D$33,3,0),IF($B21="SK 2",VLOOKUP(AA$4,'Võistluste järjestused'!$B$38:$D$47,3,0),IF($B21="SK 3",VLOOKUP(AA$4,'Võistluste järjestused'!$B$52:$D$61,3,0),"")))))</f>
      </c>
      <c r="AB21" s="44">
        <f>IF(ISNA(IF($B21="SK ALG",VLOOKUP(AB$4,'Võistluste järjestused'!$B$11:$D$18,3,0),IF($B21="SK 1",VLOOKUP(AB$4,'Võistluste järjestused'!$B$23:$D$33,3,0),IF($B21="SK 2",VLOOKUP(AB$4,'Võistluste järjestused'!$B$38:$D$47,3,0),IF($B21="SK 3",VLOOKUP(AB$4,'Võistluste järjestused'!$B$52:$D$61,3,0),""))))),"",IF($B21="SK ALG",VLOOKUP(AB$4,'Võistluste järjestused'!$B$11:$D$18,3,0),IF($B21="SK 1",VLOOKUP(AB$4,'Võistluste järjestused'!$B$23:$D$33,3,0),IF($B21="SK 2",VLOOKUP(AB$4,'Võistluste järjestused'!$B$38:$D$47,3,0),IF($B21="SK 3",VLOOKUP(AB$4,'Võistluste järjestused'!$B$52:$D$61,3,0),"")))))</f>
      </c>
      <c r="AC21" s="44">
        <f>IF(ISNA(IF($B21="SK ALG",VLOOKUP(AC$4,'Võistluste järjestused'!$B$11:$D$18,3,0),IF($B21="SK 1",VLOOKUP(AC$4,'Võistluste järjestused'!$B$23:$D$33,3,0),IF($B21="SK 2",VLOOKUP(AC$4,'Võistluste järjestused'!$B$38:$D$47,3,0),IF($B21="SK 3",VLOOKUP(AC$4,'Võistluste järjestused'!$B$52:$D$61,3,0),""))))),"",IF($B21="SK ALG",VLOOKUP(AC$4,'Võistluste järjestused'!$B$11:$D$18,3,0),IF($B21="SK 1",VLOOKUP(AC$4,'Võistluste järjestused'!$B$23:$D$33,3,0),IF($B21="SK 2",VLOOKUP(AC$4,'Võistluste järjestused'!$B$38:$D$47,3,0),IF($B21="SK 3",VLOOKUP(AC$4,'Võistluste järjestused'!$B$52:$D$61,3,0),"")))))</f>
      </c>
      <c r="AD21" s="45"/>
      <c r="AE21" s="45"/>
      <c r="AF21" s="45"/>
      <c r="AG21" s="45"/>
      <c r="AH21" s="30">
        <f t="shared" si="6"/>
      </c>
      <c r="AI21" s="46">
        <f>IF(B21="","",IF(AH21="DSQ",0,H21*S21+I21*T21+J21*U21+K21*V21+L21*W21+M21*X21+N21*Y21+O21*Z21+P21*AA21+Q21*AB21+R21*AC21+AE21*'Võistluste järjestused'!D79))</f>
      </c>
      <c r="AJ21" s="30">
        <f>IF(B21="","",IF(AI21&gt;=VLOOKUP(B21,'Võistluste järjestused'!$F$18:$J$21,3,0),"I järk",IF(AI21&gt;=VLOOKUP(B21,'Võistluste järjestused'!$F$18:$J$21,4,0),"II järk",IF(AI21&gt;=VLOOKUP(B21,'Võistluste järjestused'!$F$18:$J$21,5,0),"III järk",0))))</f>
      </c>
      <c r="AK21" s="30">
        <f t="shared" si="0"/>
      </c>
      <c r="AL21" s="30">
        <f t="shared" si="1"/>
      </c>
      <c r="AM21" s="30">
        <f t="shared" si="2"/>
      </c>
      <c r="AN21" s="30">
        <f t="shared" si="3"/>
      </c>
      <c r="AO21" s="30">
        <f t="shared" si="4"/>
      </c>
      <c r="AP21" s="47">
        <f t="shared" si="5"/>
      </c>
      <c r="AR21" s="37"/>
    </row>
    <row r="22" spans="1:44" ht="25.5">
      <c r="A22" s="30">
        <v>18</v>
      </c>
      <c r="B22" s="40"/>
      <c r="C22" s="41"/>
      <c r="D22" s="41"/>
      <c r="E22" s="41"/>
      <c r="F22" s="40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>
        <f>IF(ISNA(IF($B22="SK ALG",VLOOKUP(S$4,'Võistluste järjestused'!$B$11:$D$18,3,0),IF($B22="SK 1",VLOOKUP(S$4,'Võistluste järjestused'!$B$23:$D$33,3,0),IF($B22="SK 2",VLOOKUP(S$4,'Võistluste järjestused'!$B$38:$D$47,3,0),IF($B22="SK 3",VLOOKUP(S$4,'Võistluste järjestused'!$B$52:$D$61,3,0),""))))),"",IF($B22="SK ALG",VLOOKUP(S$4,'Võistluste järjestused'!$B$11:$D$18,3,0),IF($B22="SK 1",VLOOKUP(S$4,'Võistluste järjestused'!$B$23:$D$33,3,0),IF($B22="SK 2",VLOOKUP(S$4,'Võistluste järjestused'!$B$38:$D$47,3,0),IF($B22="SK 3",VLOOKUP(S$4,'Võistluste järjestused'!$B$52:$D$61,3,0),"")))))</f>
      </c>
      <c r="T22" s="44">
        <f>IF(ISNA(IF($B22="SK ALG",VLOOKUP(T$4,'Võistluste järjestused'!$B$11:$D$18,3,0),IF($B22="SK 1",VLOOKUP(T$4,'Võistluste järjestused'!$B$23:$D$33,3,0),IF($B22="SK 2",VLOOKUP(T$4,'Võistluste järjestused'!$B$38:$D$47,3,0),IF($B22="SK 3",VLOOKUP(T$4,'Võistluste järjestused'!$B$52:$D$61,3,0),""))))),"",IF($B22="SK ALG",VLOOKUP(T$4,'Võistluste järjestused'!$B$11:$D$18,3,0),IF($B22="SK 1",VLOOKUP(T$4,'Võistluste järjestused'!$B$23:$D$33,3,0),IF($B22="SK 2",VLOOKUP(T$4,'Võistluste järjestused'!$B$38:$D$47,3,0),IF($B22="SK 3",VLOOKUP(T$4,'Võistluste järjestused'!$B$52:$D$61,3,0),"")))))</f>
      </c>
      <c r="U22" s="44">
        <f>IF(ISNA(IF($B22="SK ALG",VLOOKUP(U$4,'Võistluste järjestused'!$B$11:$D$18,3,0),IF($B22="SK 1",VLOOKUP(U$4,'Võistluste järjestused'!$B$23:$D$33,3,0),IF($B22="SK 2",VLOOKUP(U$4,'Võistluste järjestused'!$B$38:$D$47,3,0),IF($B22="SK 3",VLOOKUP(U$4,'Võistluste järjestused'!$B$52:$D$61,3,0),""))))),"",IF($B22="SK ALG",VLOOKUP(U$4,'Võistluste järjestused'!$B$11:$D$18,3,0),IF($B22="SK 1",VLOOKUP(U$4,'Võistluste järjestused'!$B$23:$D$33,3,0),IF($B22="SK 2",VLOOKUP(U$4,'Võistluste järjestused'!$B$38:$D$47,3,0),IF($B22="SK 3",VLOOKUP(U$4,'Võistluste järjestused'!$B$52:$D$61,3,0),"")))))</f>
      </c>
      <c r="V22" s="44">
        <f>IF(ISNA(IF($B22="SK ALG",VLOOKUP(V$4,'Võistluste järjestused'!$B$11:$D$18,3,0),IF($B22="SK 1",VLOOKUP(V$4,'Võistluste järjestused'!$B$23:$D$33,3,0),IF($B22="SK 2",VLOOKUP(V$4,'Võistluste järjestused'!$B$38:$D$47,3,0),IF($B22="SK 3",VLOOKUP(V$4,'Võistluste järjestused'!$B$52:$D$61,3,0),""))))),"",IF($B22="SK ALG",VLOOKUP(V$4,'Võistluste järjestused'!$B$11:$D$18,3,0),IF($B22="SK 1",VLOOKUP(V$4,'Võistluste järjestused'!$B$23:$D$33,3,0),IF($B22="SK 2",VLOOKUP(V$4,'Võistluste järjestused'!$B$38:$D$47,3,0),IF($B22="SK 3",VLOOKUP(V$4,'Võistluste järjestused'!$B$52:$D$61,3,0),"")))))</f>
      </c>
      <c r="W22" s="44">
        <f>IF(ISNA(IF($B22="SK ALG",VLOOKUP(W$4,'Võistluste järjestused'!$B$11:$D$18,3,0),IF($B22="SK 1",VLOOKUP(W$4,'Võistluste järjestused'!$B$23:$D$33,3,0),IF($B22="SK 2",VLOOKUP(W$4,'Võistluste järjestused'!$B$38:$D$47,3,0),IF($B22="SK 3",VLOOKUP(W$4,'Võistluste järjestused'!$B$52:$D$61,3,0),""))))),"",IF($B22="SK ALG",VLOOKUP(W$4,'Võistluste järjestused'!$B$11:$D$18,3,0),IF($B22="SK 1",VLOOKUP(W$4,'Võistluste järjestused'!$B$23:$D$33,3,0),IF($B22="SK 2",VLOOKUP(W$4,'Võistluste järjestused'!$B$38:$D$47,3,0),IF($B22="SK 3",VLOOKUP(W$4,'Võistluste järjestused'!$B$52:$D$61,3,0),"")))))</f>
      </c>
      <c r="X22" s="44">
        <f>IF(ISNA(IF($B22="SK ALG",VLOOKUP(X$4,'Võistluste järjestused'!$B$11:$D$18,3,0),IF($B22="SK 1",VLOOKUP(X$4,'Võistluste järjestused'!$B$23:$D$33,3,0),IF($B22="SK 2",VLOOKUP(X$4,'Võistluste järjestused'!$B$38:$D$47,3,0),IF($B22="SK 3",VLOOKUP(X$4,'Võistluste järjestused'!$B$52:$D$61,3,0),""))))),"",IF($B22="SK ALG",VLOOKUP(X$4,'Võistluste järjestused'!$B$11:$D$18,3,0),IF($B22="SK 1",VLOOKUP(X$4,'Võistluste järjestused'!$B$23:$D$33,3,0),IF($B22="SK 2",VLOOKUP(X$4,'Võistluste järjestused'!$B$38:$D$47,3,0),IF($B22="SK 3",VLOOKUP(X$4,'Võistluste järjestused'!$B$52:$D$61,3,0),"")))))</f>
      </c>
      <c r="Y22" s="44">
        <f>IF(ISNA(IF($B22="SK ALG",VLOOKUP(Y$4,'Võistluste järjestused'!$B$11:$D$18,3,0),IF($B22="SK 1",VLOOKUP(Y$4,'Võistluste järjestused'!$B$23:$D$33,3,0),IF($B22="SK 2",VLOOKUP(Y$4,'Võistluste järjestused'!$B$38:$D$47,3,0),IF($B22="SK 3",VLOOKUP(Y$4,'Võistluste järjestused'!$B$52:$D$61,3,0),""))))),"",IF($B22="SK ALG",VLOOKUP(Y$4,'Võistluste järjestused'!$B$11:$D$18,3,0),IF($B22="SK 1",VLOOKUP(Y$4,'Võistluste järjestused'!$B$23:$D$33,3,0),IF($B22="SK 2",VLOOKUP(Y$4,'Võistluste järjestused'!$B$38:$D$47,3,0),IF($B22="SK 3",VLOOKUP(Y$4,'Võistluste järjestused'!$B$52:$D$61,3,0),"")))))</f>
      </c>
      <c r="Z22" s="44">
        <f>IF(ISNA(IF($B22="SK ALG",VLOOKUP(Z$4,'Võistluste järjestused'!$B$11:$D$18,3,0),IF($B22="SK 1",VLOOKUP(Z$4,'Võistluste järjestused'!$B$23:$D$33,3,0),IF($B22="SK 2",VLOOKUP(Z$4,'Võistluste järjestused'!$B$38:$D$47,3,0),IF($B22="SK 3",VLOOKUP(Z$4,'Võistluste järjestused'!$B$52:$D$61,3,0),""))))),"",IF($B22="SK ALG",VLOOKUP(Z$4,'Võistluste järjestused'!$B$11:$D$18,3,0),IF($B22="SK 1",VLOOKUP(Z$4,'Võistluste järjestused'!$B$23:$D$33,3,0),IF($B22="SK 2",VLOOKUP(Z$4,'Võistluste järjestused'!$B$38:$D$47,3,0),IF($B22="SK 3",VLOOKUP(Z$4,'Võistluste järjestused'!$B$52:$D$61,3,0),"")))))</f>
      </c>
      <c r="AA22" s="44">
        <f>IF(ISNA(IF($B22="SK ALG",VLOOKUP(AA$4,'Võistluste järjestused'!$B$11:$D$18,3,0),IF($B22="SK 1",VLOOKUP(AA$4,'Võistluste järjestused'!$B$23:$D$33,3,0),IF($B22="SK 2",VLOOKUP(AA$4,'Võistluste järjestused'!$B$38:$D$47,3,0),IF($B22="SK 3",VLOOKUP(AA$4,'Võistluste järjestused'!$B$52:$D$61,3,0),""))))),"",IF($B22="SK ALG",VLOOKUP(AA$4,'Võistluste järjestused'!$B$11:$D$18,3,0),IF($B22="SK 1",VLOOKUP(AA$4,'Võistluste järjestused'!$B$23:$D$33,3,0),IF($B22="SK 2",VLOOKUP(AA$4,'Võistluste järjestused'!$B$38:$D$47,3,0),IF($B22="SK 3",VLOOKUP(AA$4,'Võistluste järjestused'!$B$52:$D$61,3,0),"")))))</f>
      </c>
      <c r="AB22" s="44">
        <f>IF(ISNA(IF($B22="SK ALG",VLOOKUP(AB$4,'Võistluste järjestused'!$B$11:$D$18,3,0),IF($B22="SK 1",VLOOKUP(AB$4,'Võistluste järjestused'!$B$23:$D$33,3,0),IF($B22="SK 2",VLOOKUP(AB$4,'Võistluste järjestused'!$B$38:$D$47,3,0),IF($B22="SK 3",VLOOKUP(AB$4,'Võistluste järjestused'!$B$52:$D$61,3,0),""))))),"",IF($B22="SK ALG",VLOOKUP(AB$4,'Võistluste järjestused'!$B$11:$D$18,3,0),IF($B22="SK 1",VLOOKUP(AB$4,'Võistluste järjestused'!$B$23:$D$33,3,0),IF($B22="SK 2",VLOOKUP(AB$4,'Võistluste järjestused'!$B$38:$D$47,3,0),IF($B22="SK 3",VLOOKUP(AB$4,'Võistluste järjestused'!$B$52:$D$61,3,0),"")))))</f>
      </c>
      <c r="AC22" s="44">
        <f>IF(ISNA(IF($B22="SK ALG",VLOOKUP(AC$4,'Võistluste järjestused'!$B$11:$D$18,3,0),IF($B22="SK 1",VLOOKUP(AC$4,'Võistluste järjestused'!$B$23:$D$33,3,0),IF($B22="SK 2",VLOOKUP(AC$4,'Võistluste järjestused'!$B$38:$D$47,3,0),IF($B22="SK 3",VLOOKUP(AC$4,'Võistluste järjestused'!$B$52:$D$61,3,0),""))))),"",IF($B22="SK ALG",VLOOKUP(AC$4,'Võistluste järjestused'!$B$11:$D$18,3,0),IF($B22="SK 1",VLOOKUP(AC$4,'Võistluste järjestused'!$B$23:$D$33,3,0),IF($B22="SK 2",VLOOKUP(AC$4,'Võistluste järjestused'!$B$38:$D$47,3,0),IF($B22="SK 3",VLOOKUP(AC$4,'Võistluste järjestused'!$B$52:$D$61,3,0),"")))))</f>
      </c>
      <c r="AD22" s="45"/>
      <c r="AE22" s="45"/>
      <c r="AF22" s="45"/>
      <c r="AG22" s="45"/>
      <c r="AH22" s="30">
        <f t="shared" si="6"/>
      </c>
      <c r="AI22" s="46">
        <f>IF(B22="","",IF(AH22="DSQ",0,H22*S22+I22*T22+J22*U22+K22*V22+L22*W22+M22*X22+N22*Y22+O22*Z22+P22*AA22+Q22*AB22+R22*AC22+AE22*'Võistluste järjestused'!D80))</f>
      </c>
      <c r="AJ22" s="30">
        <f>IF(B22="","",IF(AI22&gt;=VLOOKUP(B22,'Võistluste järjestused'!$F$18:$J$21,3,0),"I järk",IF(AI22&gt;=VLOOKUP(B22,'Võistluste järjestused'!$F$18:$J$21,4,0),"II järk",IF(AI22&gt;=VLOOKUP(B22,'Võistluste järjestused'!$F$18:$J$21,5,0),"III järk",0))))</f>
      </c>
      <c r="AK22" s="30">
        <f t="shared" si="0"/>
      </c>
      <c r="AL22" s="30">
        <f t="shared" si="1"/>
      </c>
      <c r="AM22" s="30">
        <f t="shared" si="2"/>
      </c>
      <c r="AN22" s="30">
        <f t="shared" si="3"/>
      </c>
      <c r="AO22" s="30">
        <f t="shared" si="4"/>
      </c>
      <c r="AP22" s="47">
        <f t="shared" si="5"/>
      </c>
      <c r="AR22" s="37"/>
    </row>
    <row r="23" spans="1:44" ht="25.5">
      <c r="A23" s="30">
        <v>19</v>
      </c>
      <c r="B23" s="40"/>
      <c r="C23" s="41"/>
      <c r="D23" s="41"/>
      <c r="E23" s="41"/>
      <c r="F23" s="40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>
        <f>IF(ISNA(IF($B23="SK ALG",VLOOKUP(S$4,'Võistluste järjestused'!$B$11:$D$18,3,0),IF($B23="SK 1",VLOOKUP(S$4,'Võistluste järjestused'!$B$23:$D$33,3,0),IF($B23="SK 2",VLOOKUP(S$4,'Võistluste järjestused'!$B$38:$D$47,3,0),IF($B23="SK 3",VLOOKUP(S$4,'Võistluste järjestused'!$B$52:$D$61,3,0),""))))),"",IF($B23="SK ALG",VLOOKUP(S$4,'Võistluste järjestused'!$B$11:$D$18,3,0),IF($B23="SK 1",VLOOKUP(S$4,'Võistluste järjestused'!$B$23:$D$33,3,0),IF($B23="SK 2",VLOOKUP(S$4,'Võistluste järjestused'!$B$38:$D$47,3,0),IF($B23="SK 3",VLOOKUP(S$4,'Võistluste järjestused'!$B$52:$D$61,3,0),"")))))</f>
      </c>
      <c r="T23" s="44">
        <f>IF(ISNA(IF($B23="SK ALG",VLOOKUP(T$4,'Võistluste järjestused'!$B$11:$D$18,3,0),IF($B23="SK 1",VLOOKUP(T$4,'Võistluste järjestused'!$B$23:$D$33,3,0),IF($B23="SK 2",VLOOKUP(T$4,'Võistluste järjestused'!$B$38:$D$47,3,0),IF($B23="SK 3",VLOOKUP(T$4,'Võistluste järjestused'!$B$52:$D$61,3,0),""))))),"",IF($B23="SK ALG",VLOOKUP(T$4,'Võistluste järjestused'!$B$11:$D$18,3,0),IF($B23="SK 1",VLOOKUP(T$4,'Võistluste järjestused'!$B$23:$D$33,3,0),IF($B23="SK 2",VLOOKUP(T$4,'Võistluste järjestused'!$B$38:$D$47,3,0),IF($B23="SK 3",VLOOKUP(T$4,'Võistluste järjestused'!$B$52:$D$61,3,0),"")))))</f>
      </c>
      <c r="U23" s="44">
        <f>IF(ISNA(IF($B23="SK ALG",VLOOKUP(U$4,'Võistluste järjestused'!$B$11:$D$18,3,0),IF($B23="SK 1",VLOOKUP(U$4,'Võistluste järjestused'!$B$23:$D$33,3,0),IF($B23="SK 2",VLOOKUP(U$4,'Võistluste järjestused'!$B$38:$D$47,3,0),IF($B23="SK 3",VLOOKUP(U$4,'Võistluste järjestused'!$B$52:$D$61,3,0),""))))),"",IF($B23="SK ALG",VLOOKUP(U$4,'Võistluste järjestused'!$B$11:$D$18,3,0),IF($B23="SK 1",VLOOKUP(U$4,'Võistluste järjestused'!$B$23:$D$33,3,0),IF($B23="SK 2",VLOOKUP(U$4,'Võistluste järjestused'!$B$38:$D$47,3,0),IF($B23="SK 3",VLOOKUP(U$4,'Võistluste järjestused'!$B$52:$D$61,3,0),"")))))</f>
      </c>
      <c r="V23" s="44">
        <f>IF(ISNA(IF($B23="SK ALG",VLOOKUP(V$4,'Võistluste järjestused'!$B$11:$D$18,3,0),IF($B23="SK 1",VLOOKUP(V$4,'Võistluste järjestused'!$B$23:$D$33,3,0),IF($B23="SK 2",VLOOKUP(V$4,'Võistluste järjestused'!$B$38:$D$47,3,0),IF($B23="SK 3",VLOOKUP(V$4,'Võistluste järjestused'!$B$52:$D$61,3,0),""))))),"",IF($B23="SK ALG",VLOOKUP(V$4,'Võistluste järjestused'!$B$11:$D$18,3,0),IF($B23="SK 1",VLOOKUP(V$4,'Võistluste järjestused'!$B$23:$D$33,3,0),IF($B23="SK 2",VLOOKUP(V$4,'Võistluste järjestused'!$B$38:$D$47,3,0),IF($B23="SK 3",VLOOKUP(V$4,'Võistluste järjestused'!$B$52:$D$61,3,0),"")))))</f>
      </c>
      <c r="W23" s="44">
        <f>IF(ISNA(IF($B23="SK ALG",VLOOKUP(W$4,'Võistluste järjestused'!$B$11:$D$18,3,0),IF($B23="SK 1",VLOOKUP(W$4,'Võistluste järjestused'!$B$23:$D$33,3,0),IF($B23="SK 2",VLOOKUP(W$4,'Võistluste järjestused'!$B$38:$D$47,3,0),IF($B23="SK 3",VLOOKUP(W$4,'Võistluste järjestused'!$B$52:$D$61,3,0),""))))),"",IF($B23="SK ALG",VLOOKUP(W$4,'Võistluste järjestused'!$B$11:$D$18,3,0),IF($B23="SK 1",VLOOKUP(W$4,'Võistluste järjestused'!$B$23:$D$33,3,0),IF($B23="SK 2",VLOOKUP(W$4,'Võistluste järjestused'!$B$38:$D$47,3,0),IF($B23="SK 3",VLOOKUP(W$4,'Võistluste järjestused'!$B$52:$D$61,3,0),"")))))</f>
      </c>
      <c r="X23" s="44">
        <f>IF(ISNA(IF($B23="SK ALG",VLOOKUP(X$4,'Võistluste järjestused'!$B$11:$D$18,3,0),IF($B23="SK 1",VLOOKUP(X$4,'Võistluste järjestused'!$B$23:$D$33,3,0),IF($B23="SK 2",VLOOKUP(X$4,'Võistluste järjestused'!$B$38:$D$47,3,0),IF($B23="SK 3",VLOOKUP(X$4,'Võistluste järjestused'!$B$52:$D$61,3,0),""))))),"",IF($B23="SK ALG",VLOOKUP(X$4,'Võistluste järjestused'!$B$11:$D$18,3,0),IF($B23="SK 1",VLOOKUP(X$4,'Võistluste järjestused'!$B$23:$D$33,3,0),IF($B23="SK 2",VLOOKUP(X$4,'Võistluste järjestused'!$B$38:$D$47,3,0),IF($B23="SK 3",VLOOKUP(X$4,'Võistluste järjestused'!$B$52:$D$61,3,0),"")))))</f>
      </c>
      <c r="Y23" s="44">
        <f>IF(ISNA(IF($B23="SK ALG",VLOOKUP(Y$4,'Võistluste järjestused'!$B$11:$D$18,3,0),IF($B23="SK 1",VLOOKUP(Y$4,'Võistluste järjestused'!$B$23:$D$33,3,0),IF($B23="SK 2",VLOOKUP(Y$4,'Võistluste järjestused'!$B$38:$D$47,3,0),IF($B23="SK 3",VLOOKUP(Y$4,'Võistluste järjestused'!$B$52:$D$61,3,0),""))))),"",IF($B23="SK ALG",VLOOKUP(Y$4,'Võistluste järjestused'!$B$11:$D$18,3,0),IF($B23="SK 1",VLOOKUP(Y$4,'Võistluste järjestused'!$B$23:$D$33,3,0),IF($B23="SK 2",VLOOKUP(Y$4,'Võistluste järjestused'!$B$38:$D$47,3,0),IF($B23="SK 3",VLOOKUP(Y$4,'Võistluste järjestused'!$B$52:$D$61,3,0),"")))))</f>
      </c>
      <c r="Z23" s="44">
        <f>IF(ISNA(IF($B23="SK ALG",VLOOKUP(Z$4,'Võistluste järjestused'!$B$11:$D$18,3,0),IF($B23="SK 1",VLOOKUP(Z$4,'Võistluste järjestused'!$B$23:$D$33,3,0),IF($B23="SK 2",VLOOKUP(Z$4,'Võistluste järjestused'!$B$38:$D$47,3,0),IF($B23="SK 3",VLOOKUP(Z$4,'Võistluste järjestused'!$B$52:$D$61,3,0),""))))),"",IF($B23="SK ALG",VLOOKUP(Z$4,'Võistluste järjestused'!$B$11:$D$18,3,0),IF($B23="SK 1",VLOOKUP(Z$4,'Võistluste järjestused'!$B$23:$D$33,3,0),IF($B23="SK 2",VLOOKUP(Z$4,'Võistluste järjestused'!$B$38:$D$47,3,0),IF($B23="SK 3",VLOOKUP(Z$4,'Võistluste järjestused'!$B$52:$D$61,3,0),"")))))</f>
      </c>
      <c r="AA23" s="44">
        <f>IF(ISNA(IF($B23="SK ALG",VLOOKUP(AA$4,'Võistluste järjestused'!$B$11:$D$18,3,0),IF($B23="SK 1",VLOOKUP(AA$4,'Võistluste järjestused'!$B$23:$D$33,3,0),IF($B23="SK 2",VLOOKUP(AA$4,'Võistluste järjestused'!$B$38:$D$47,3,0),IF($B23="SK 3",VLOOKUP(AA$4,'Võistluste järjestused'!$B$52:$D$61,3,0),""))))),"",IF($B23="SK ALG",VLOOKUP(AA$4,'Võistluste järjestused'!$B$11:$D$18,3,0),IF($B23="SK 1",VLOOKUP(AA$4,'Võistluste järjestused'!$B$23:$D$33,3,0),IF($B23="SK 2",VLOOKUP(AA$4,'Võistluste järjestused'!$B$38:$D$47,3,0),IF($B23="SK 3",VLOOKUP(AA$4,'Võistluste järjestused'!$B$52:$D$61,3,0),"")))))</f>
      </c>
      <c r="AB23" s="44">
        <f>IF(ISNA(IF($B23="SK ALG",VLOOKUP(AB$4,'Võistluste järjestused'!$B$11:$D$18,3,0),IF($B23="SK 1",VLOOKUP(AB$4,'Võistluste järjestused'!$B$23:$D$33,3,0),IF($B23="SK 2",VLOOKUP(AB$4,'Võistluste järjestused'!$B$38:$D$47,3,0),IF($B23="SK 3",VLOOKUP(AB$4,'Võistluste järjestused'!$B$52:$D$61,3,0),""))))),"",IF($B23="SK ALG",VLOOKUP(AB$4,'Võistluste järjestused'!$B$11:$D$18,3,0),IF($B23="SK 1",VLOOKUP(AB$4,'Võistluste järjestused'!$B$23:$D$33,3,0),IF($B23="SK 2",VLOOKUP(AB$4,'Võistluste järjestused'!$B$38:$D$47,3,0),IF($B23="SK 3",VLOOKUP(AB$4,'Võistluste järjestused'!$B$52:$D$61,3,0),"")))))</f>
      </c>
      <c r="AC23" s="44">
        <f>IF(ISNA(IF($B23="SK ALG",VLOOKUP(AC$4,'Võistluste järjestused'!$B$11:$D$18,3,0),IF($B23="SK 1",VLOOKUP(AC$4,'Võistluste järjestused'!$B$23:$D$33,3,0),IF($B23="SK 2",VLOOKUP(AC$4,'Võistluste järjestused'!$B$38:$D$47,3,0),IF($B23="SK 3",VLOOKUP(AC$4,'Võistluste järjestused'!$B$52:$D$61,3,0),""))))),"",IF($B23="SK ALG",VLOOKUP(AC$4,'Võistluste järjestused'!$B$11:$D$18,3,0),IF($B23="SK 1",VLOOKUP(AC$4,'Võistluste järjestused'!$B$23:$D$33,3,0),IF($B23="SK 2",VLOOKUP(AC$4,'Võistluste järjestused'!$B$38:$D$47,3,0),IF($B23="SK 3",VLOOKUP(AC$4,'Võistluste järjestused'!$B$52:$D$61,3,0),"")))))</f>
      </c>
      <c r="AD23" s="45"/>
      <c r="AE23" s="45"/>
      <c r="AF23" s="45"/>
      <c r="AG23" s="45"/>
      <c r="AH23" s="30">
        <f t="shared" si="6"/>
      </c>
      <c r="AI23" s="46">
        <f>IF(B23="","",IF(AH23="DSQ",0,H23*S23+I23*T23+J23*U23+K23*V23+L23*W23+M23*X23+N23*Y23+O23*Z23+P23*AA23+Q23*AB23+R23*AC23+AE23*'Võistluste järjestused'!D81))</f>
      </c>
      <c r="AJ23" s="30">
        <f>IF(B23="","",IF(AI23&gt;=VLOOKUP(B23,'Võistluste järjestused'!$F$18:$J$21,3,0),"I järk",IF(AI23&gt;=VLOOKUP(B23,'Võistluste järjestused'!$F$18:$J$21,4,0),"II järk",IF(AI23&gt;=VLOOKUP(B23,'Võistluste järjestused'!$F$18:$J$21,5,0),"III järk",0))))</f>
      </c>
      <c r="AK23" s="30">
        <f t="shared" si="0"/>
      </c>
      <c r="AL23" s="30">
        <f t="shared" si="1"/>
      </c>
      <c r="AM23" s="30">
        <f t="shared" si="2"/>
      </c>
      <c r="AN23" s="30">
        <f t="shared" si="3"/>
      </c>
      <c r="AO23" s="30">
        <f t="shared" si="4"/>
      </c>
      <c r="AP23" s="47">
        <f t="shared" si="5"/>
      </c>
      <c r="AR23" s="37"/>
    </row>
    <row r="24" spans="1:44" ht="25.5">
      <c r="A24" s="30">
        <v>20</v>
      </c>
      <c r="B24" s="40"/>
      <c r="C24" s="41"/>
      <c r="D24" s="41"/>
      <c r="E24" s="41"/>
      <c r="F24" s="40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>
        <f>IF(ISNA(IF($B24="SK ALG",VLOOKUP(S$4,'Võistluste järjestused'!$B$11:$D$18,3,0),IF($B24="SK 1",VLOOKUP(S$4,'Võistluste järjestused'!$B$23:$D$33,3,0),IF($B24="SK 2",VLOOKUP(S$4,'Võistluste järjestused'!$B$38:$D$47,3,0),IF($B24="SK 3",VLOOKUP(S$4,'Võistluste järjestused'!$B$52:$D$61,3,0),""))))),"",IF($B24="SK ALG",VLOOKUP(S$4,'Võistluste järjestused'!$B$11:$D$18,3,0),IF($B24="SK 1",VLOOKUP(S$4,'Võistluste järjestused'!$B$23:$D$33,3,0),IF($B24="SK 2",VLOOKUP(S$4,'Võistluste järjestused'!$B$38:$D$47,3,0),IF($B24="SK 3",VLOOKUP(S$4,'Võistluste järjestused'!$B$52:$D$61,3,0),"")))))</f>
      </c>
      <c r="T24" s="44">
        <f>IF(ISNA(IF($B24="SK ALG",VLOOKUP(T$4,'Võistluste järjestused'!$B$11:$D$18,3,0),IF($B24="SK 1",VLOOKUP(T$4,'Võistluste järjestused'!$B$23:$D$33,3,0),IF($B24="SK 2",VLOOKUP(T$4,'Võistluste järjestused'!$B$38:$D$47,3,0),IF($B24="SK 3",VLOOKUP(T$4,'Võistluste järjestused'!$B$52:$D$61,3,0),""))))),"",IF($B24="SK ALG",VLOOKUP(T$4,'Võistluste järjestused'!$B$11:$D$18,3,0),IF($B24="SK 1",VLOOKUP(T$4,'Võistluste järjestused'!$B$23:$D$33,3,0),IF($B24="SK 2",VLOOKUP(T$4,'Võistluste järjestused'!$B$38:$D$47,3,0),IF($B24="SK 3",VLOOKUP(T$4,'Võistluste järjestused'!$B$52:$D$61,3,0),"")))))</f>
      </c>
      <c r="U24" s="44">
        <f>IF(ISNA(IF($B24="SK ALG",VLOOKUP(U$4,'Võistluste järjestused'!$B$11:$D$18,3,0),IF($B24="SK 1",VLOOKUP(U$4,'Võistluste järjestused'!$B$23:$D$33,3,0),IF($B24="SK 2",VLOOKUP(U$4,'Võistluste järjestused'!$B$38:$D$47,3,0),IF($B24="SK 3",VLOOKUP(U$4,'Võistluste järjestused'!$B$52:$D$61,3,0),""))))),"",IF($B24="SK ALG",VLOOKUP(U$4,'Võistluste järjestused'!$B$11:$D$18,3,0),IF($B24="SK 1",VLOOKUP(U$4,'Võistluste järjestused'!$B$23:$D$33,3,0),IF($B24="SK 2",VLOOKUP(U$4,'Võistluste järjestused'!$B$38:$D$47,3,0),IF($B24="SK 3",VLOOKUP(U$4,'Võistluste järjestused'!$B$52:$D$61,3,0),"")))))</f>
      </c>
      <c r="V24" s="44">
        <f>IF(ISNA(IF($B24="SK ALG",VLOOKUP(V$4,'Võistluste järjestused'!$B$11:$D$18,3,0),IF($B24="SK 1",VLOOKUP(V$4,'Võistluste järjestused'!$B$23:$D$33,3,0),IF($B24="SK 2",VLOOKUP(V$4,'Võistluste järjestused'!$B$38:$D$47,3,0),IF($B24="SK 3",VLOOKUP(V$4,'Võistluste järjestused'!$B$52:$D$61,3,0),""))))),"",IF($B24="SK ALG",VLOOKUP(V$4,'Võistluste järjestused'!$B$11:$D$18,3,0),IF($B24="SK 1",VLOOKUP(V$4,'Võistluste järjestused'!$B$23:$D$33,3,0),IF($B24="SK 2",VLOOKUP(V$4,'Võistluste järjestused'!$B$38:$D$47,3,0),IF($B24="SK 3",VLOOKUP(V$4,'Võistluste järjestused'!$B$52:$D$61,3,0),"")))))</f>
      </c>
      <c r="W24" s="44">
        <f>IF(ISNA(IF($B24="SK ALG",VLOOKUP(W$4,'Võistluste järjestused'!$B$11:$D$18,3,0),IF($B24="SK 1",VLOOKUP(W$4,'Võistluste järjestused'!$B$23:$D$33,3,0),IF($B24="SK 2",VLOOKUP(W$4,'Võistluste järjestused'!$B$38:$D$47,3,0),IF($B24="SK 3",VLOOKUP(W$4,'Võistluste järjestused'!$B$52:$D$61,3,0),""))))),"",IF($B24="SK ALG",VLOOKUP(W$4,'Võistluste järjestused'!$B$11:$D$18,3,0),IF($B24="SK 1",VLOOKUP(W$4,'Võistluste järjestused'!$B$23:$D$33,3,0),IF($B24="SK 2",VLOOKUP(W$4,'Võistluste järjestused'!$B$38:$D$47,3,0),IF($B24="SK 3",VLOOKUP(W$4,'Võistluste järjestused'!$B$52:$D$61,3,0),"")))))</f>
      </c>
      <c r="X24" s="44">
        <f>IF(ISNA(IF($B24="SK ALG",VLOOKUP(X$4,'Võistluste järjestused'!$B$11:$D$18,3,0),IF($B24="SK 1",VLOOKUP(X$4,'Võistluste järjestused'!$B$23:$D$33,3,0),IF($B24="SK 2",VLOOKUP(X$4,'Võistluste järjestused'!$B$38:$D$47,3,0),IF($B24="SK 3",VLOOKUP(X$4,'Võistluste järjestused'!$B$52:$D$61,3,0),""))))),"",IF($B24="SK ALG",VLOOKUP(X$4,'Võistluste järjestused'!$B$11:$D$18,3,0),IF($B24="SK 1",VLOOKUP(X$4,'Võistluste järjestused'!$B$23:$D$33,3,0),IF($B24="SK 2",VLOOKUP(X$4,'Võistluste järjestused'!$B$38:$D$47,3,0),IF($B24="SK 3",VLOOKUP(X$4,'Võistluste järjestused'!$B$52:$D$61,3,0),"")))))</f>
      </c>
      <c r="Y24" s="44">
        <f>IF(ISNA(IF($B24="SK ALG",VLOOKUP(Y$4,'Võistluste järjestused'!$B$11:$D$18,3,0),IF($B24="SK 1",VLOOKUP(Y$4,'Võistluste järjestused'!$B$23:$D$33,3,0),IF($B24="SK 2",VLOOKUP(Y$4,'Võistluste järjestused'!$B$38:$D$47,3,0),IF($B24="SK 3",VLOOKUP(Y$4,'Võistluste järjestused'!$B$52:$D$61,3,0),""))))),"",IF($B24="SK ALG",VLOOKUP(Y$4,'Võistluste järjestused'!$B$11:$D$18,3,0),IF($B24="SK 1",VLOOKUP(Y$4,'Võistluste järjestused'!$B$23:$D$33,3,0),IF($B24="SK 2",VLOOKUP(Y$4,'Võistluste järjestused'!$B$38:$D$47,3,0),IF($B24="SK 3",VLOOKUP(Y$4,'Võistluste järjestused'!$B$52:$D$61,3,0),"")))))</f>
      </c>
      <c r="Z24" s="44">
        <f>IF(ISNA(IF($B24="SK ALG",VLOOKUP(Z$4,'Võistluste järjestused'!$B$11:$D$18,3,0),IF($B24="SK 1",VLOOKUP(Z$4,'Võistluste järjestused'!$B$23:$D$33,3,0),IF($B24="SK 2",VLOOKUP(Z$4,'Võistluste järjestused'!$B$38:$D$47,3,0),IF($B24="SK 3",VLOOKUP(Z$4,'Võistluste järjestused'!$B$52:$D$61,3,0),""))))),"",IF($B24="SK ALG",VLOOKUP(Z$4,'Võistluste järjestused'!$B$11:$D$18,3,0),IF($B24="SK 1",VLOOKUP(Z$4,'Võistluste järjestused'!$B$23:$D$33,3,0),IF($B24="SK 2",VLOOKUP(Z$4,'Võistluste järjestused'!$B$38:$D$47,3,0),IF($B24="SK 3",VLOOKUP(Z$4,'Võistluste järjestused'!$B$52:$D$61,3,0),"")))))</f>
      </c>
      <c r="AA24" s="44">
        <f>IF(ISNA(IF($B24="SK ALG",VLOOKUP(AA$4,'Võistluste järjestused'!$B$11:$D$18,3,0),IF($B24="SK 1",VLOOKUP(AA$4,'Võistluste järjestused'!$B$23:$D$33,3,0),IF($B24="SK 2",VLOOKUP(AA$4,'Võistluste järjestused'!$B$38:$D$47,3,0),IF($B24="SK 3",VLOOKUP(AA$4,'Võistluste järjestused'!$B$52:$D$61,3,0),""))))),"",IF($B24="SK ALG",VLOOKUP(AA$4,'Võistluste järjestused'!$B$11:$D$18,3,0),IF($B24="SK 1",VLOOKUP(AA$4,'Võistluste järjestused'!$B$23:$D$33,3,0),IF($B24="SK 2",VLOOKUP(AA$4,'Võistluste järjestused'!$B$38:$D$47,3,0),IF($B24="SK 3",VLOOKUP(AA$4,'Võistluste järjestused'!$B$52:$D$61,3,0),"")))))</f>
      </c>
      <c r="AB24" s="44">
        <f>IF(ISNA(IF($B24="SK ALG",VLOOKUP(AB$4,'Võistluste järjestused'!$B$11:$D$18,3,0),IF($B24="SK 1",VLOOKUP(AB$4,'Võistluste järjestused'!$B$23:$D$33,3,0),IF($B24="SK 2",VLOOKUP(AB$4,'Võistluste järjestused'!$B$38:$D$47,3,0),IF($B24="SK 3",VLOOKUP(AB$4,'Võistluste järjestused'!$B$52:$D$61,3,0),""))))),"",IF($B24="SK ALG",VLOOKUP(AB$4,'Võistluste järjestused'!$B$11:$D$18,3,0),IF($B24="SK 1",VLOOKUP(AB$4,'Võistluste järjestused'!$B$23:$D$33,3,0),IF($B24="SK 2",VLOOKUP(AB$4,'Võistluste järjestused'!$B$38:$D$47,3,0),IF($B24="SK 3",VLOOKUP(AB$4,'Võistluste järjestused'!$B$52:$D$61,3,0),"")))))</f>
      </c>
      <c r="AC24" s="44">
        <f>IF(ISNA(IF($B24="SK ALG",VLOOKUP(AC$4,'Võistluste järjestused'!$B$11:$D$18,3,0),IF($B24="SK 1",VLOOKUP(AC$4,'Võistluste järjestused'!$B$23:$D$33,3,0),IF($B24="SK 2",VLOOKUP(AC$4,'Võistluste järjestused'!$B$38:$D$47,3,0),IF($B24="SK 3",VLOOKUP(AC$4,'Võistluste järjestused'!$B$52:$D$61,3,0),""))))),"",IF($B24="SK ALG",VLOOKUP(AC$4,'Võistluste järjestused'!$B$11:$D$18,3,0),IF($B24="SK 1",VLOOKUP(AC$4,'Võistluste järjestused'!$B$23:$D$33,3,0),IF($B24="SK 2",VLOOKUP(AC$4,'Võistluste järjestused'!$B$38:$D$47,3,0),IF($B24="SK 3",VLOOKUP(AC$4,'Võistluste järjestused'!$B$52:$D$61,3,0),"")))))</f>
      </c>
      <c r="AD24" s="45"/>
      <c r="AE24" s="45"/>
      <c r="AF24" s="45"/>
      <c r="AG24" s="45"/>
      <c r="AH24" s="30">
        <f t="shared" si="6"/>
      </c>
      <c r="AI24" s="46">
        <f>IF(B24="","",IF(AH24="DSQ",0,H24*S24+I24*T24+J24*U24+K24*V24+L24*W24+M24*X24+N24*Y24+O24*Z24+P24*AA24+Q24*AB24+R24*AC24+AE24*'Võistluste järjestused'!D82))</f>
      </c>
      <c r="AJ24" s="30">
        <f>IF(B24="","",IF(AI24&gt;=VLOOKUP(B24,'Võistluste järjestused'!$F$18:$J$21,3,0),"I järk",IF(AI24&gt;=VLOOKUP(B24,'Võistluste järjestused'!$F$18:$J$21,4,0),"II järk",IF(AI24&gt;=VLOOKUP(B24,'Võistluste järjestused'!$F$18:$J$21,5,0),"III järk",0))))</f>
      </c>
      <c r="AK24" s="30">
        <f t="shared" si="0"/>
      </c>
      <c r="AL24" s="30">
        <f t="shared" si="1"/>
      </c>
      <c r="AM24" s="30">
        <f t="shared" si="2"/>
      </c>
      <c r="AN24" s="30">
        <f t="shared" si="3"/>
      </c>
      <c r="AO24" s="30">
        <f t="shared" si="4"/>
      </c>
      <c r="AP24" s="47">
        <f t="shared" si="5"/>
      </c>
      <c r="AR24" s="37"/>
    </row>
    <row r="25" spans="1:44" ht="25.5">
      <c r="A25" s="30">
        <v>21</v>
      </c>
      <c r="B25" s="40"/>
      <c r="C25" s="41"/>
      <c r="D25" s="41"/>
      <c r="E25" s="41"/>
      <c r="F25" s="40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>
        <f>IF(ISNA(IF($B25="SK ALG",VLOOKUP(S$4,'Võistluste järjestused'!$B$11:$D$18,3,0),IF($B25="SK 1",VLOOKUP(S$4,'Võistluste järjestused'!$B$23:$D$33,3,0),IF($B25="SK 2",VLOOKUP(S$4,'Võistluste järjestused'!$B$38:$D$47,3,0),IF($B25="SK 3",VLOOKUP(S$4,'Võistluste järjestused'!$B$52:$D$61,3,0),""))))),"",IF($B25="SK ALG",VLOOKUP(S$4,'Võistluste järjestused'!$B$11:$D$18,3,0),IF($B25="SK 1",VLOOKUP(S$4,'Võistluste järjestused'!$B$23:$D$33,3,0),IF($B25="SK 2",VLOOKUP(S$4,'Võistluste järjestused'!$B$38:$D$47,3,0),IF($B25="SK 3",VLOOKUP(S$4,'Võistluste järjestused'!$B$52:$D$61,3,0),"")))))</f>
      </c>
      <c r="T25" s="44">
        <f>IF(ISNA(IF($B25="SK ALG",VLOOKUP(T$4,'Võistluste järjestused'!$B$11:$D$18,3,0),IF($B25="SK 1",VLOOKUP(T$4,'Võistluste järjestused'!$B$23:$D$33,3,0),IF($B25="SK 2",VLOOKUP(T$4,'Võistluste järjestused'!$B$38:$D$47,3,0),IF($B25="SK 3",VLOOKUP(T$4,'Võistluste järjestused'!$B$52:$D$61,3,0),""))))),"",IF($B25="SK ALG",VLOOKUP(T$4,'Võistluste järjestused'!$B$11:$D$18,3,0),IF($B25="SK 1",VLOOKUP(T$4,'Võistluste järjestused'!$B$23:$D$33,3,0),IF($B25="SK 2",VLOOKUP(T$4,'Võistluste järjestused'!$B$38:$D$47,3,0),IF($B25="SK 3",VLOOKUP(T$4,'Võistluste järjestused'!$B$52:$D$61,3,0),"")))))</f>
      </c>
      <c r="U25" s="44">
        <f>IF(ISNA(IF($B25="SK ALG",VLOOKUP(U$4,'Võistluste järjestused'!$B$11:$D$18,3,0),IF($B25="SK 1",VLOOKUP(U$4,'Võistluste järjestused'!$B$23:$D$33,3,0),IF($B25="SK 2",VLOOKUP(U$4,'Võistluste järjestused'!$B$38:$D$47,3,0),IF($B25="SK 3",VLOOKUP(U$4,'Võistluste järjestused'!$B$52:$D$61,3,0),""))))),"",IF($B25="SK ALG",VLOOKUP(U$4,'Võistluste järjestused'!$B$11:$D$18,3,0),IF($B25="SK 1",VLOOKUP(U$4,'Võistluste järjestused'!$B$23:$D$33,3,0),IF($B25="SK 2",VLOOKUP(U$4,'Võistluste järjestused'!$B$38:$D$47,3,0),IF($B25="SK 3",VLOOKUP(U$4,'Võistluste järjestused'!$B$52:$D$61,3,0),"")))))</f>
      </c>
      <c r="V25" s="44">
        <f>IF(ISNA(IF($B25="SK ALG",VLOOKUP(V$4,'Võistluste järjestused'!$B$11:$D$18,3,0),IF($B25="SK 1",VLOOKUP(V$4,'Võistluste järjestused'!$B$23:$D$33,3,0),IF($B25="SK 2",VLOOKUP(V$4,'Võistluste järjestused'!$B$38:$D$47,3,0),IF($B25="SK 3",VLOOKUP(V$4,'Võistluste järjestused'!$B$52:$D$61,3,0),""))))),"",IF($B25="SK ALG",VLOOKUP(V$4,'Võistluste järjestused'!$B$11:$D$18,3,0),IF($B25="SK 1",VLOOKUP(V$4,'Võistluste järjestused'!$B$23:$D$33,3,0),IF($B25="SK 2",VLOOKUP(V$4,'Võistluste järjestused'!$B$38:$D$47,3,0),IF($B25="SK 3",VLOOKUP(V$4,'Võistluste järjestused'!$B$52:$D$61,3,0),"")))))</f>
      </c>
      <c r="W25" s="44">
        <f>IF(ISNA(IF($B25="SK ALG",VLOOKUP(W$4,'Võistluste järjestused'!$B$11:$D$18,3,0),IF($B25="SK 1",VLOOKUP(W$4,'Võistluste järjestused'!$B$23:$D$33,3,0),IF($B25="SK 2",VLOOKUP(W$4,'Võistluste järjestused'!$B$38:$D$47,3,0),IF($B25="SK 3",VLOOKUP(W$4,'Võistluste järjestused'!$B$52:$D$61,3,0),""))))),"",IF($B25="SK ALG",VLOOKUP(W$4,'Võistluste järjestused'!$B$11:$D$18,3,0),IF($B25="SK 1",VLOOKUP(W$4,'Võistluste järjestused'!$B$23:$D$33,3,0),IF($B25="SK 2",VLOOKUP(W$4,'Võistluste järjestused'!$B$38:$D$47,3,0),IF($B25="SK 3",VLOOKUP(W$4,'Võistluste järjestused'!$B$52:$D$61,3,0),"")))))</f>
      </c>
      <c r="X25" s="44">
        <f>IF(ISNA(IF($B25="SK ALG",VLOOKUP(X$4,'Võistluste järjestused'!$B$11:$D$18,3,0),IF($B25="SK 1",VLOOKUP(X$4,'Võistluste järjestused'!$B$23:$D$33,3,0),IF($B25="SK 2",VLOOKUP(X$4,'Võistluste järjestused'!$B$38:$D$47,3,0),IF($B25="SK 3",VLOOKUP(X$4,'Võistluste järjestused'!$B$52:$D$61,3,0),""))))),"",IF($B25="SK ALG",VLOOKUP(X$4,'Võistluste järjestused'!$B$11:$D$18,3,0),IF($B25="SK 1",VLOOKUP(X$4,'Võistluste järjestused'!$B$23:$D$33,3,0),IF($B25="SK 2",VLOOKUP(X$4,'Võistluste järjestused'!$B$38:$D$47,3,0),IF($B25="SK 3",VLOOKUP(X$4,'Võistluste järjestused'!$B$52:$D$61,3,0),"")))))</f>
      </c>
      <c r="Y25" s="44">
        <f>IF(ISNA(IF($B25="SK ALG",VLOOKUP(Y$4,'Võistluste järjestused'!$B$11:$D$18,3,0),IF($B25="SK 1",VLOOKUP(Y$4,'Võistluste järjestused'!$B$23:$D$33,3,0),IF($B25="SK 2",VLOOKUP(Y$4,'Võistluste järjestused'!$B$38:$D$47,3,0),IF($B25="SK 3",VLOOKUP(Y$4,'Võistluste järjestused'!$B$52:$D$61,3,0),""))))),"",IF($B25="SK ALG",VLOOKUP(Y$4,'Võistluste järjestused'!$B$11:$D$18,3,0),IF($B25="SK 1",VLOOKUP(Y$4,'Võistluste järjestused'!$B$23:$D$33,3,0),IF($B25="SK 2",VLOOKUP(Y$4,'Võistluste järjestused'!$B$38:$D$47,3,0),IF($B25="SK 3",VLOOKUP(Y$4,'Võistluste järjestused'!$B$52:$D$61,3,0),"")))))</f>
      </c>
      <c r="Z25" s="44">
        <f>IF(ISNA(IF($B25="SK ALG",VLOOKUP(Z$4,'Võistluste järjestused'!$B$11:$D$18,3,0),IF($B25="SK 1",VLOOKUP(Z$4,'Võistluste järjestused'!$B$23:$D$33,3,0),IF($B25="SK 2",VLOOKUP(Z$4,'Võistluste järjestused'!$B$38:$D$47,3,0),IF($B25="SK 3",VLOOKUP(Z$4,'Võistluste järjestused'!$B$52:$D$61,3,0),""))))),"",IF($B25="SK ALG",VLOOKUP(Z$4,'Võistluste järjestused'!$B$11:$D$18,3,0),IF($B25="SK 1",VLOOKUP(Z$4,'Võistluste järjestused'!$B$23:$D$33,3,0),IF($B25="SK 2",VLOOKUP(Z$4,'Võistluste järjestused'!$B$38:$D$47,3,0),IF($B25="SK 3",VLOOKUP(Z$4,'Võistluste järjestused'!$B$52:$D$61,3,0),"")))))</f>
      </c>
      <c r="AA25" s="44">
        <f>IF(ISNA(IF($B25="SK ALG",VLOOKUP(AA$4,'Võistluste järjestused'!$B$11:$D$18,3,0),IF($B25="SK 1",VLOOKUP(AA$4,'Võistluste järjestused'!$B$23:$D$33,3,0),IF($B25="SK 2",VLOOKUP(AA$4,'Võistluste järjestused'!$B$38:$D$47,3,0),IF($B25="SK 3",VLOOKUP(AA$4,'Võistluste järjestused'!$B$52:$D$61,3,0),""))))),"",IF($B25="SK ALG",VLOOKUP(AA$4,'Võistluste järjestused'!$B$11:$D$18,3,0),IF($B25="SK 1",VLOOKUP(AA$4,'Võistluste järjestused'!$B$23:$D$33,3,0),IF($B25="SK 2",VLOOKUP(AA$4,'Võistluste järjestused'!$B$38:$D$47,3,0),IF($B25="SK 3",VLOOKUP(AA$4,'Võistluste järjestused'!$B$52:$D$61,3,0),"")))))</f>
      </c>
      <c r="AB25" s="44">
        <f>IF(ISNA(IF($B25="SK ALG",VLOOKUP(AB$4,'Võistluste järjestused'!$B$11:$D$18,3,0),IF($B25="SK 1",VLOOKUP(AB$4,'Võistluste järjestused'!$B$23:$D$33,3,0),IF($B25="SK 2",VLOOKUP(AB$4,'Võistluste järjestused'!$B$38:$D$47,3,0),IF($B25="SK 3",VLOOKUP(AB$4,'Võistluste järjestused'!$B$52:$D$61,3,0),""))))),"",IF($B25="SK ALG",VLOOKUP(AB$4,'Võistluste järjestused'!$B$11:$D$18,3,0),IF($B25="SK 1",VLOOKUP(AB$4,'Võistluste järjestused'!$B$23:$D$33,3,0),IF($B25="SK 2",VLOOKUP(AB$4,'Võistluste järjestused'!$B$38:$D$47,3,0),IF($B25="SK 3",VLOOKUP(AB$4,'Võistluste järjestused'!$B$52:$D$61,3,0),"")))))</f>
      </c>
      <c r="AC25" s="44">
        <f>IF(ISNA(IF($B25="SK ALG",VLOOKUP(AC$4,'Võistluste järjestused'!$B$11:$D$18,3,0),IF($B25="SK 1",VLOOKUP(AC$4,'Võistluste järjestused'!$B$23:$D$33,3,0),IF($B25="SK 2",VLOOKUP(AC$4,'Võistluste järjestused'!$B$38:$D$47,3,0),IF($B25="SK 3",VLOOKUP(AC$4,'Võistluste järjestused'!$B$52:$D$61,3,0),""))))),"",IF($B25="SK ALG",VLOOKUP(AC$4,'Võistluste järjestused'!$B$11:$D$18,3,0),IF($B25="SK 1",VLOOKUP(AC$4,'Võistluste järjestused'!$B$23:$D$33,3,0),IF($B25="SK 2",VLOOKUP(AC$4,'Võistluste järjestused'!$B$38:$D$47,3,0),IF($B25="SK 3",VLOOKUP(AC$4,'Võistluste järjestused'!$B$52:$D$61,3,0),"")))))</f>
      </c>
      <c r="AD25" s="45"/>
      <c r="AE25" s="45"/>
      <c r="AF25" s="45"/>
      <c r="AG25" s="45"/>
      <c r="AH25" s="30">
        <f t="shared" si="6"/>
      </c>
      <c r="AI25" s="46">
        <f>IF(B25="","",IF(AH25="DSQ",0,H25*S25+I25*T25+J25*U25+K25*V25+L25*W25+M25*X25+N25*Y25+O25*Z25+P25*AA25+Q25*AB25+R25*AC25+AE25*'Võistluste järjestused'!D83))</f>
      </c>
      <c r="AJ25" s="30">
        <f>IF(B25="","",IF(AI25&gt;=VLOOKUP(B25,'Võistluste järjestused'!$F$18:$J$21,3,0),"I järk",IF(AI25&gt;=VLOOKUP(B25,'Võistluste järjestused'!$F$18:$J$21,4,0),"II järk",IF(AI25&gt;=VLOOKUP(B25,'Võistluste järjestused'!$F$18:$J$21,5,0),"III järk",0))))</f>
      </c>
      <c r="AK25" s="30">
        <f t="shared" si="0"/>
      </c>
      <c r="AL25" s="30">
        <f t="shared" si="1"/>
      </c>
      <c r="AM25" s="30">
        <f t="shared" si="2"/>
      </c>
      <c r="AN25" s="30">
        <f t="shared" si="3"/>
      </c>
      <c r="AO25" s="30">
        <f t="shared" si="4"/>
      </c>
      <c r="AP25" s="47">
        <f t="shared" si="5"/>
      </c>
      <c r="AR25" s="37"/>
    </row>
    <row r="26" spans="1:44" ht="25.5">
      <c r="A26" s="30">
        <v>22</v>
      </c>
      <c r="B26" s="40"/>
      <c r="C26" s="41"/>
      <c r="D26" s="41"/>
      <c r="E26" s="41"/>
      <c r="F26" s="40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>
        <f>IF(ISNA(IF($B26="SK ALG",VLOOKUP(S$4,'Võistluste järjestused'!$B$11:$D$18,3,0),IF($B26="SK 1",VLOOKUP(S$4,'Võistluste järjestused'!$B$23:$D$33,3,0),IF($B26="SK 2",VLOOKUP(S$4,'Võistluste järjestused'!$B$38:$D$47,3,0),IF($B26="SK 3",VLOOKUP(S$4,'Võistluste järjestused'!$B$52:$D$61,3,0),""))))),"",IF($B26="SK ALG",VLOOKUP(S$4,'Võistluste järjestused'!$B$11:$D$18,3,0),IF($B26="SK 1",VLOOKUP(S$4,'Võistluste järjestused'!$B$23:$D$33,3,0),IF($B26="SK 2",VLOOKUP(S$4,'Võistluste järjestused'!$B$38:$D$47,3,0),IF($B26="SK 3",VLOOKUP(S$4,'Võistluste järjestused'!$B$52:$D$61,3,0),"")))))</f>
      </c>
      <c r="T26" s="44">
        <f>IF(ISNA(IF($B26="SK ALG",VLOOKUP(T$4,'Võistluste järjestused'!$B$11:$D$18,3,0),IF($B26="SK 1",VLOOKUP(T$4,'Võistluste järjestused'!$B$23:$D$33,3,0),IF($B26="SK 2",VLOOKUP(T$4,'Võistluste järjestused'!$B$38:$D$47,3,0),IF($B26="SK 3",VLOOKUP(T$4,'Võistluste järjestused'!$B$52:$D$61,3,0),""))))),"",IF($B26="SK ALG",VLOOKUP(T$4,'Võistluste järjestused'!$B$11:$D$18,3,0),IF($B26="SK 1",VLOOKUP(T$4,'Võistluste järjestused'!$B$23:$D$33,3,0),IF($B26="SK 2",VLOOKUP(T$4,'Võistluste järjestused'!$B$38:$D$47,3,0),IF($B26="SK 3",VLOOKUP(T$4,'Võistluste järjestused'!$B$52:$D$61,3,0),"")))))</f>
      </c>
      <c r="U26" s="44">
        <f>IF(ISNA(IF($B26="SK ALG",VLOOKUP(U$4,'Võistluste järjestused'!$B$11:$D$18,3,0),IF($B26="SK 1",VLOOKUP(U$4,'Võistluste järjestused'!$B$23:$D$33,3,0),IF($B26="SK 2",VLOOKUP(U$4,'Võistluste järjestused'!$B$38:$D$47,3,0),IF($B26="SK 3",VLOOKUP(U$4,'Võistluste järjestused'!$B$52:$D$61,3,0),""))))),"",IF($B26="SK ALG",VLOOKUP(U$4,'Võistluste järjestused'!$B$11:$D$18,3,0),IF($B26="SK 1",VLOOKUP(U$4,'Võistluste järjestused'!$B$23:$D$33,3,0),IF($B26="SK 2",VLOOKUP(U$4,'Võistluste järjestused'!$B$38:$D$47,3,0),IF($B26="SK 3",VLOOKUP(U$4,'Võistluste järjestused'!$B$52:$D$61,3,0),"")))))</f>
      </c>
      <c r="V26" s="44">
        <f>IF(ISNA(IF($B26="SK ALG",VLOOKUP(V$4,'Võistluste järjestused'!$B$11:$D$18,3,0),IF($B26="SK 1",VLOOKUP(V$4,'Võistluste järjestused'!$B$23:$D$33,3,0),IF($B26="SK 2",VLOOKUP(V$4,'Võistluste järjestused'!$B$38:$D$47,3,0),IF($B26="SK 3",VLOOKUP(V$4,'Võistluste järjestused'!$B$52:$D$61,3,0),""))))),"",IF($B26="SK ALG",VLOOKUP(V$4,'Võistluste järjestused'!$B$11:$D$18,3,0),IF($B26="SK 1",VLOOKUP(V$4,'Võistluste järjestused'!$B$23:$D$33,3,0),IF($B26="SK 2",VLOOKUP(V$4,'Võistluste järjestused'!$B$38:$D$47,3,0),IF($B26="SK 3",VLOOKUP(V$4,'Võistluste järjestused'!$B$52:$D$61,3,0),"")))))</f>
      </c>
      <c r="W26" s="44">
        <f>IF(ISNA(IF($B26="SK ALG",VLOOKUP(W$4,'Võistluste järjestused'!$B$11:$D$18,3,0),IF($B26="SK 1",VLOOKUP(W$4,'Võistluste järjestused'!$B$23:$D$33,3,0),IF($B26="SK 2",VLOOKUP(W$4,'Võistluste järjestused'!$B$38:$D$47,3,0),IF($B26="SK 3",VLOOKUP(W$4,'Võistluste järjestused'!$B$52:$D$61,3,0),""))))),"",IF($B26="SK ALG",VLOOKUP(W$4,'Võistluste järjestused'!$B$11:$D$18,3,0),IF($B26="SK 1",VLOOKUP(W$4,'Võistluste järjestused'!$B$23:$D$33,3,0),IF($B26="SK 2",VLOOKUP(W$4,'Võistluste järjestused'!$B$38:$D$47,3,0),IF($B26="SK 3",VLOOKUP(W$4,'Võistluste järjestused'!$B$52:$D$61,3,0),"")))))</f>
      </c>
      <c r="X26" s="44">
        <f>IF(ISNA(IF($B26="SK ALG",VLOOKUP(X$4,'Võistluste järjestused'!$B$11:$D$18,3,0),IF($B26="SK 1",VLOOKUP(X$4,'Võistluste järjestused'!$B$23:$D$33,3,0),IF($B26="SK 2",VLOOKUP(X$4,'Võistluste järjestused'!$B$38:$D$47,3,0),IF($B26="SK 3",VLOOKUP(X$4,'Võistluste järjestused'!$B$52:$D$61,3,0),""))))),"",IF($B26="SK ALG",VLOOKUP(X$4,'Võistluste järjestused'!$B$11:$D$18,3,0),IF($B26="SK 1",VLOOKUP(X$4,'Võistluste järjestused'!$B$23:$D$33,3,0),IF($B26="SK 2",VLOOKUP(X$4,'Võistluste järjestused'!$B$38:$D$47,3,0),IF($B26="SK 3",VLOOKUP(X$4,'Võistluste järjestused'!$B$52:$D$61,3,0),"")))))</f>
      </c>
      <c r="Y26" s="44">
        <f>IF(ISNA(IF($B26="SK ALG",VLOOKUP(Y$4,'Võistluste järjestused'!$B$11:$D$18,3,0),IF($B26="SK 1",VLOOKUP(Y$4,'Võistluste järjestused'!$B$23:$D$33,3,0),IF($B26="SK 2",VLOOKUP(Y$4,'Võistluste järjestused'!$B$38:$D$47,3,0),IF($B26="SK 3",VLOOKUP(Y$4,'Võistluste järjestused'!$B$52:$D$61,3,0),""))))),"",IF($B26="SK ALG",VLOOKUP(Y$4,'Võistluste järjestused'!$B$11:$D$18,3,0),IF($B26="SK 1",VLOOKUP(Y$4,'Võistluste järjestused'!$B$23:$D$33,3,0),IF($B26="SK 2",VLOOKUP(Y$4,'Võistluste järjestused'!$B$38:$D$47,3,0),IF($B26="SK 3",VLOOKUP(Y$4,'Võistluste järjestused'!$B$52:$D$61,3,0),"")))))</f>
      </c>
      <c r="Z26" s="44">
        <f>IF(ISNA(IF($B26="SK ALG",VLOOKUP(Z$4,'Võistluste järjestused'!$B$11:$D$18,3,0),IF($B26="SK 1",VLOOKUP(Z$4,'Võistluste järjestused'!$B$23:$D$33,3,0),IF($B26="SK 2",VLOOKUP(Z$4,'Võistluste järjestused'!$B$38:$D$47,3,0),IF($B26="SK 3",VLOOKUP(Z$4,'Võistluste järjestused'!$B$52:$D$61,3,0),""))))),"",IF($B26="SK ALG",VLOOKUP(Z$4,'Võistluste järjestused'!$B$11:$D$18,3,0),IF($B26="SK 1",VLOOKUP(Z$4,'Võistluste järjestused'!$B$23:$D$33,3,0),IF($B26="SK 2",VLOOKUP(Z$4,'Võistluste järjestused'!$B$38:$D$47,3,0),IF($B26="SK 3",VLOOKUP(Z$4,'Võistluste järjestused'!$B$52:$D$61,3,0),"")))))</f>
      </c>
      <c r="AA26" s="44">
        <f>IF(ISNA(IF($B26="SK ALG",VLOOKUP(AA$4,'Võistluste järjestused'!$B$11:$D$18,3,0),IF($B26="SK 1",VLOOKUP(AA$4,'Võistluste järjestused'!$B$23:$D$33,3,0),IF($B26="SK 2",VLOOKUP(AA$4,'Võistluste järjestused'!$B$38:$D$47,3,0),IF($B26="SK 3",VLOOKUP(AA$4,'Võistluste järjestused'!$B$52:$D$61,3,0),""))))),"",IF($B26="SK ALG",VLOOKUP(AA$4,'Võistluste järjestused'!$B$11:$D$18,3,0),IF($B26="SK 1",VLOOKUP(AA$4,'Võistluste järjestused'!$B$23:$D$33,3,0),IF($B26="SK 2",VLOOKUP(AA$4,'Võistluste järjestused'!$B$38:$D$47,3,0),IF($B26="SK 3",VLOOKUP(AA$4,'Võistluste järjestused'!$B$52:$D$61,3,0),"")))))</f>
      </c>
      <c r="AB26" s="44">
        <f>IF(ISNA(IF($B26="SK ALG",VLOOKUP(AB$4,'Võistluste järjestused'!$B$11:$D$18,3,0),IF($B26="SK 1",VLOOKUP(AB$4,'Võistluste järjestused'!$B$23:$D$33,3,0),IF($B26="SK 2",VLOOKUP(AB$4,'Võistluste järjestused'!$B$38:$D$47,3,0),IF($B26="SK 3",VLOOKUP(AB$4,'Võistluste järjestused'!$B$52:$D$61,3,0),""))))),"",IF($B26="SK ALG",VLOOKUP(AB$4,'Võistluste järjestused'!$B$11:$D$18,3,0),IF($B26="SK 1",VLOOKUP(AB$4,'Võistluste järjestused'!$B$23:$D$33,3,0),IF($B26="SK 2",VLOOKUP(AB$4,'Võistluste järjestused'!$B$38:$D$47,3,0),IF($B26="SK 3",VLOOKUP(AB$4,'Võistluste järjestused'!$B$52:$D$61,3,0),"")))))</f>
      </c>
      <c r="AC26" s="44">
        <f>IF(ISNA(IF($B26="SK ALG",VLOOKUP(AC$4,'Võistluste järjestused'!$B$11:$D$18,3,0),IF($B26="SK 1",VLOOKUP(AC$4,'Võistluste järjestused'!$B$23:$D$33,3,0),IF($B26="SK 2",VLOOKUP(AC$4,'Võistluste järjestused'!$B$38:$D$47,3,0),IF($B26="SK 3",VLOOKUP(AC$4,'Võistluste järjestused'!$B$52:$D$61,3,0),""))))),"",IF($B26="SK ALG",VLOOKUP(AC$4,'Võistluste järjestused'!$B$11:$D$18,3,0),IF($B26="SK 1",VLOOKUP(AC$4,'Võistluste järjestused'!$B$23:$D$33,3,0),IF($B26="SK 2",VLOOKUP(AC$4,'Võistluste järjestused'!$B$38:$D$47,3,0),IF($B26="SK 3",VLOOKUP(AC$4,'Võistluste järjestused'!$B$52:$D$61,3,0),"")))))</f>
      </c>
      <c r="AD26" s="45"/>
      <c r="AE26" s="45"/>
      <c r="AF26" s="45"/>
      <c r="AG26" s="45"/>
      <c r="AH26" s="30">
        <f t="shared" si="6"/>
      </c>
      <c r="AI26" s="46">
        <f>IF(B26="","",IF(AH26="DSQ",0,H26*S26+I26*T26+J26*U26+K26*V26+L26*W26+M26*X26+N26*Y26+O26*Z26+P26*AA26+Q26*AB26+R26*AC26+AE26*'Võistluste järjestused'!D84))</f>
      </c>
      <c r="AJ26" s="30">
        <f>IF(B26="","",IF(AI26&gt;=VLOOKUP(B26,'Võistluste järjestused'!$F$18:$J$21,3,0),"I järk",IF(AI26&gt;=VLOOKUP(B26,'Võistluste järjestused'!$F$18:$J$21,4,0),"II järk",IF(AI26&gt;=VLOOKUP(B26,'Võistluste järjestused'!$F$18:$J$21,5,0),"III järk",0))))</f>
      </c>
      <c r="AK26" s="30">
        <f t="shared" si="0"/>
      </c>
      <c r="AL26" s="30">
        <f t="shared" si="1"/>
      </c>
      <c r="AM26" s="30">
        <f t="shared" si="2"/>
      </c>
      <c r="AN26" s="30">
        <f t="shared" si="3"/>
      </c>
      <c r="AO26" s="30">
        <f t="shared" si="4"/>
      </c>
      <c r="AP26" s="47">
        <f t="shared" si="5"/>
      </c>
      <c r="AR26" s="37"/>
    </row>
    <row r="27" spans="1:44" ht="25.5">
      <c r="A27" s="30">
        <v>23</v>
      </c>
      <c r="B27" s="40"/>
      <c r="C27" s="41"/>
      <c r="D27" s="41"/>
      <c r="E27" s="41"/>
      <c r="F27" s="40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>
        <f>IF(ISNA(IF($B27="SK ALG",VLOOKUP(S$4,'Võistluste järjestused'!$B$11:$D$18,3,0),IF($B27="SK 1",VLOOKUP(S$4,'Võistluste järjestused'!$B$23:$D$33,3,0),IF($B27="SK 2",VLOOKUP(S$4,'Võistluste järjestused'!$B$38:$D$47,3,0),IF($B27="SK 3",VLOOKUP(S$4,'Võistluste järjestused'!$B$52:$D$61,3,0),""))))),"",IF($B27="SK ALG",VLOOKUP(S$4,'Võistluste järjestused'!$B$11:$D$18,3,0),IF($B27="SK 1",VLOOKUP(S$4,'Võistluste järjestused'!$B$23:$D$33,3,0),IF($B27="SK 2",VLOOKUP(S$4,'Võistluste järjestused'!$B$38:$D$47,3,0),IF($B27="SK 3",VLOOKUP(S$4,'Võistluste järjestused'!$B$52:$D$61,3,0),"")))))</f>
      </c>
      <c r="T27" s="44">
        <f>IF(ISNA(IF($B27="SK ALG",VLOOKUP(T$4,'Võistluste järjestused'!$B$11:$D$18,3,0),IF($B27="SK 1",VLOOKUP(T$4,'Võistluste järjestused'!$B$23:$D$33,3,0),IF($B27="SK 2",VLOOKUP(T$4,'Võistluste järjestused'!$B$38:$D$47,3,0),IF($B27="SK 3",VLOOKUP(T$4,'Võistluste järjestused'!$B$52:$D$61,3,0),""))))),"",IF($B27="SK ALG",VLOOKUP(T$4,'Võistluste järjestused'!$B$11:$D$18,3,0),IF($B27="SK 1",VLOOKUP(T$4,'Võistluste järjestused'!$B$23:$D$33,3,0),IF($B27="SK 2",VLOOKUP(T$4,'Võistluste järjestused'!$B$38:$D$47,3,0),IF($B27="SK 3",VLOOKUP(T$4,'Võistluste järjestused'!$B$52:$D$61,3,0),"")))))</f>
      </c>
      <c r="U27" s="44">
        <f>IF(ISNA(IF($B27="SK ALG",VLOOKUP(U$4,'Võistluste järjestused'!$B$11:$D$18,3,0),IF($B27="SK 1",VLOOKUP(U$4,'Võistluste järjestused'!$B$23:$D$33,3,0),IF($B27="SK 2",VLOOKUP(U$4,'Võistluste järjestused'!$B$38:$D$47,3,0),IF($B27="SK 3",VLOOKUP(U$4,'Võistluste järjestused'!$B$52:$D$61,3,0),""))))),"",IF($B27="SK ALG",VLOOKUP(U$4,'Võistluste järjestused'!$B$11:$D$18,3,0),IF($B27="SK 1",VLOOKUP(U$4,'Võistluste järjestused'!$B$23:$D$33,3,0),IF($B27="SK 2",VLOOKUP(U$4,'Võistluste järjestused'!$B$38:$D$47,3,0),IF($B27="SK 3",VLOOKUP(U$4,'Võistluste järjestused'!$B$52:$D$61,3,0),"")))))</f>
      </c>
      <c r="V27" s="44">
        <f>IF(ISNA(IF($B27="SK ALG",VLOOKUP(V$4,'Võistluste järjestused'!$B$11:$D$18,3,0),IF($B27="SK 1",VLOOKUP(V$4,'Võistluste järjestused'!$B$23:$D$33,3,0),IF($B27="SK 2",VLOOKUP(V$4,'Võistluste järjestused'!$B$38:$D$47,3,0),IF($B27="SK 3",VLOOKUP(V$4,'Võistluste järjestused'!$B$52:$D$61,3,0),""))))),"",IF($B27="SK ALG",VLOOKUP(V$4,'Võistluste järjestused'!$B$11:$D$18,3,0),IF($B27="SK 1",VLOOKUP(V$4,'Võistluste järjestused'!$B$23:$D$33,3,0),IF($B27="SK 2",VLOOKUP(V$4,'Võistluste järjestused'!$B$38:$D$47,3,0),IF($B27="SK 3",VLOOKUP(V$4,'Võistluste järjestused'!$B$52:$D$61,3,0),"")))))</f>
      </c>
      <c r="W27" s="44">
        <f>IF(ISNA(IF($B27="SK ALG",VLOOKUP(W$4,'Võistluste järjestused'!$B$11:$D$18,3,0),IF($B27="SK 1",VLOOKUP(W$4,'Võistluste järjestused'!$B$23:$D$33,3,0),IF($B27="SK 2",VLOOKUP(W$4,'Võistluste järjestused'!$B$38:$D$47,3,0),IF($B27="SK 3",VLOOKUP(W$4,'Võistluste järjestused'!$B$52:$D$61,3,0),""))))),"",IF($B27="SK ALG",VLOOKUP(W$4,'Võistluste järjestused'!$B$11:$D$18,3,0),IF($B27="SK 1",VLOOKUP(W$4,'Võistluste järjestused'!$B$23:$D$33,3,0),IF($B27="SK 2",VLOOKUP(W$4,'Võistluste järjestused'!$B$38:$D$47,3,0),IF($B27="SK 3",VLOOKUP(W$4,'Võistluste järjestused'!$B$52:$D$61,3,0),"")))))</f>
      </c>
      <c r="X27" s="44">
        <f>IF(ISNA(IF($B27="SK ALG",VLOOKUP(X$4,'Võistluste järjestused'!$B$11:$D$18,3,0),IF($B27="SK 1",VLOOKUP(X$4,'Võistluste järjestused'!$B$23:$D$33,3,0),IF($B27="SK 2",VLOOKUP(X$4,'Võistluste järjestused'!$B$38:$D$47,3,0),IF($B27="SK 3",VLOOKUP(X$4,'Võistluste järjestused'!$B$52:$D$61,3,0),""))))),"",IF($B27="SK ALG",VLOOKUP(X$4,'Võistluste järjestused'!$B$11:$D$18,3,0),IF($B27="SK 1",VLOOKUP(X$4,'Võistluste järjestused'!$B$23:$D$33,3,0),IF($B27="SK 2",VLOOKUP(X$4,'Võistluste järjestused'!$B$38:$D$47,3,0),IF($B27="SK 3",VLOOKUP(X$4,'Võistluste järjestused'!$B$52:$D$61,3,0),"")))))</f>
      </c>
      <c r="Y27" s="44">
        <f>IF(ISNA(IF($B27="SK ALG",VLOOKUP(Y$4,'Võistluste järjestused'!$B$11:$D$18,3,0),IF($B27="SK 1",VLOOKUP(Y$4,'Võistluste järjestused'!$B$23:$D$33,3,0),IF($B27="SK 2",VLOOKUP(Y$4,'Võistluste järjestused'!$B$38:$D$47,3,0),IF($B27="SK 3",VLOOKUP(Y$4,'Võistluste järjestused'!$B$52:$D$61,3,0),""))))),"",IF($B27="SK ALG",VLOOKUP(Y$4,'Võistluste järjestused'!$B$11:$D$18,3,0),IF($B27="SK 1",VLOOKUP(Y$4,'Võistluste järjestused'!$B$23:$D$33,3,0),IF($B27="SK 2",VLOOKUP(Y$4,'Võistluste järjestused'!$B$38:$D$47,3,0),IF($B27="SK 3",VLOOKUP(Y$4,'Võistluste järjestused'!$B$52:$D$61,3,0),"")))))</f>
      </c>
      <c r="Z27" s="44">
        <f>IF(ISNA(IF($B27="SK ALG",VLOOKUP(Z$4,'Võistluste järjestused'!$B$11:$D$18,3,0),IF($B27="SK 1",VLOOKUP(Z$4,'Võistluste järjestused'!$B$23:$D$33,3,0),IF($B27="SK 2",VLOOKUP(Z$4,'Võistluste järjestused'!$B$38:$D$47,3,0),IF($B27="SK 3",VLOOKUP(Z$4,'Võistluste järjestused'!$B$52:$D$61,3,0),""))))),"",IF($B27="SK ALG",VLOOKUP(Z$4,'Võistluste järjestused'!$B$11:$D$18,3,0),IF($B27="SK 1",VLOOKUP(Z$4,'Võistluste järjestused'!$B$23:$D$33,3,0),IF($B27="SK 2",VLOOKUP(Z$4,'Võistluste järjestused'!$B$38:$D$47,3,0),IF($B27="SK 3",VLOOKUP(Z$4,'Võistluste järjestused'!$B$52:$D$61,3,0),"")))))</f>
      </c>
      <c r="AA27" s="44">
        <f>IF(ISNA(IF($B27="SK ALG",VLOOKUP(AA$4,'Võistluste järjestused'!$B$11:$D$18,3,0),IF($B27="SK 1",VLOOKUP(AA$4,'Võistluste järjestused'!$B$23:$D$33,3,0),IF($B27="SK 2",VLOOKUP(AA$4,'Võistluste järjestused'!$B$38:$D$47,3,0),IF($B27="SK 3",VLOOKUP(AA$4,'Võistluste järjestused'!$B$52:$D$61,3,0),""))))),"",IF($B27="SK ALG",VLOOKUP(AA$4,'Võistluste järjestused'!$B$11:$D$18,3,0),IF($B27="SK 1",VLOOKUP(AA$4,'Võistluste järjestused'!$B$23:$D$33,3,0),IF($B27="SK 2",VLOOKUP(AA$4,'Võistluste järjestused'!$B$38:$D$47,3,0),IF($B27="SK 3",VLOOKUP(AA$4,'Võistluste järjestused'!$B$52:$D$61,3,0),"")))))</f>
      </c>
      <c r="AB27" s="44">
        <f>IF(ISNA(IF($B27="SK ALG",VLOOKUP(AB$4,'Võistluste järjestused'!$B$11:$D$18,3,0),IF($B27="SK 1",VLOOKUP(AB$4,'Võistluste järjestused'!$B$23:$D$33,3,0),IF($B27="SK 2",VLOOKUP(AB$4,'Võistluste järjestused'!$B$38:$D$47,3,0),IF($B27="SK 3",VLOOKUP(AB$4,'Võistluste järjestused'!$B$52:$D$61,3,0),""))))),"",IF($B27="SK ALG",VLOOKUP(AB$4,'Võistluste järjestused'!$B$11:$D$18,3,0),IF($B27="SK 1",VLOOKUP(AB$4,'Võistluste järjestused'!$B$23:$D$33,3,0),IF($B27="SK 2",VLOOKUP(AB$4,'Võistluste järjestused'!$B$38:$D$47,3,0),IF($B27="SK 3",VLOOKUP(AB$4,'Võistluste järjestused'!$B$52:$D$61,3,0),"")))))</f>
      </c>
      <c r="AC27" s="44">
        <f>IF(ISNA(IF($B27="SK ALG",VLOOKUP(AC$4,'Võistluste järjestused'!$B$11:$D$18,3,0),IF($B27="SK 1",VLOOKUP(AC$4,'Võistluste järjestused'!$B$23:$D$33,3,0),IF($B27="SK 2",VLOOKUP(AC$4,'Võistluste järjestused'!$B$38:$D$47,3,0),IF($B27="SK 3",VLOOKUP(AC$4,'Võistluste järjestused'!$B$52:$D$61,3,0),""))))),"",IF($B27="SK ALG",VLOOKUP(AC$4,'Võistluste järjestused'!$B$11:$D$18,3,0),IF($B27="SK 1",VLOOKUP(AC$4,'Võistluste järjestused'!$B$23:$D$33,3,0),IF($B27="SK 2",VLOOKUP(AC$4,'Võistluste järjestused'!$B$38:$D$47,3,0),IF($B27="SK 3",VLOOKUP(AC$4,'Võistluste järjestused'!$B$52:$D$61,3,0),"")))))</f>
      </c>
      <c r="AD27" s="45"/>
      <c r="AE27" s="45"/>
      <c r="AF27" s="45"/>
      <c r="AG27" s="45"/>
      <c r="AH27" s="30">
        <f t="shared" si="6"/>
      </c>
      <c r="AI27" s="46">
        <f>IF(B27="","",IF(AH27="DSQ",0,H27*S27+I27*T27+J27*U27+K27*V27+L27*W27+M27*X27+N27*Y27+O27*Z27+P27*AA27+Q27*AB27+R27*AC27+AE27*'Võistluste järjestused'!D85))</f>
      </c>
      <c r="AJ27" s="30">
        <f>IF(B27="","",IF(AI27&gt;=VLOOKUP(B27,'Võistluste järjestused'!$F$18:$J$21,3,0),"I järk",IF(AI27&gt;=VLOOKUP(B27,'Võistluste järjestused'!$F$18:$J$21,4,0),"II järk",IF(AI27&gt;=VLOOKUP(B27,'Võistluste järjestused'!$F$18:$J$21,5,0),"III järk",0))))</f>
      </c>
      <c r="AK27" s="30">
        <f t="shared" si="0"/>
      </c>
      <c r="AL27" s="30">
        <f t="shared" si="1"/>
      </c>
      <c r="AM27" s="30">
        <f t="shared" si="2"/>
      </c>
      <c r="AN27" s="30">
        <f t="shared" si="3"/>
      </c>
      <c r="AO27" s="30">
        <f t="shared" si="4"/>
      </c>
      <c r="AP27" s="47">
        <f t="shared" si="5"/>
      </c>
      <c r="AR27" s="37"/>
    </row>
    <row r="28" spans="1:44" ht="25.5">
      <c r="A28" s="30">
        <v>24</v>
      </c>
      <c r="B28" s="40"/>
      <c r="C28" s="41"/>
      <c r="D28" s="41"/>
      <c r="E28" s="41"/>
      <c r="F28" s="40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>
        <f>IF(ISNA(IF($B28="SK ALG",VLOOKUP(S$4,'Võistluste järjestused'!$B$11:$D$18,3,0),IF($B28="SK 1",VLOOKUP(S$4,'Võistluste järjestused'!$B$23:$D$33,3,0),IF($B28="SK 2",VLOOKUP(S$4,'Võistluste järjestused'!$B$38:$D$47,3,0),IF($B28="SK 3",VLOOKUP(S$4,'Võistluste järjestused'!$B$52:$D$61,3,0),""))))),"",IF($B28="SK ALG",VLOOKUP(S$4,'Võistluste järjestused'!$B$11:$D$18,3,0),IF($B28="SK 1",VLOOKUP(S$4,'Võistluste järjestused'!$B$23:$D$33,3,0),IF($B28="SK 2",VLOOKUP(S$4,'Võistluste järjestused'!$B$38:$D$47,3,0),IF($B28="SK 3",VLOOKUP(S$4,'Võistluste järjestused'!$B$52:$D$61,3,0),"")))))</f>
      </c>
      <c r="T28" s="44">
        <f>IF(ISNA(IF($B28="SK ALG",VLOOKUP(T$4,'Võistluste järjestused'!$B$11:$D$18,3,0),IF($B28="SK 1",VLOOKUP(T$4,'Võistluste järjestused'!$B$23:$D$33,3,0),IF($B28="SK 2",VLOOKUP(T$4,'Võistluste järjestused'!$B$38:$D$47,3,0),IF($B28="SK 3",VLOOKUP(T$4,'Võistluste järjestused'!$B$52:$D$61,3,0),""))))),"",IF($B28="SK ALG",VLOOKUP(T$4,'Võistluste järjestused'!$B$11:$D$18,3,0),IF($B28="SK 1",VLOOKUP(T$4,'Võistluste järjestused'!$B$23:$D$33,3,0),IF($B28="SK 2",VLOOKUP(T$4,'Võistluste järjestused'!$B$38:$D$47,3,0),IF($B28="SK 3",VLOOKUP(T$4,'Võistluste järjestused'!$B$52:$D$61,3,0),"")))))</f>
      </c>
      <c r="U28" s="44">
        <f>IF(ISNA(IF($B28="SK ALG",VLOOKUP(U$4,'Võistluste järjestused'!$B$11:$D$18,3,0),IF($B28="SK 1",VLOOKUP(U$4,'Võistluste järjestused'!$B$23:$D$33,3,0),IF($B28="SK 2",VLOOKUP(U$4,'Võistluste järjestused'!$B$38:$D$47,3,0),IF($B28="SK 3",VLOOKUP(U$4,'Võistluste järjestused'!$B$52:$D$61,3,0),""))))),"",IF($B28="SK ALG",VLOOKUP(U$4,'Võistluste järjestused'!$B$11:$D$18,3,0),IF($B28="SK 1",VLOOKUP(U$4,'Võistluste järjestused'!$B$23:$D$33,3,0),IF($B28="SK 2",VLOOKUP(U$4,'Võistluste järjestused'!$B$38:$D$47,3,0),IF($B28="SK 3",VLOOKUP(U$4,'Võistluste järjestused'!$B$52:$D$61,3,0),"")))))</f>
      </c>
      <c r="V28" s="44">
        <f>IF(ISNA(IF($B28="SK ALG",VLOOKUP(V$4,'Võistluste järjestused'!$B$11:$D$18,3,0),IF($B28="SK 1",VLOOKUP(V$4,'Võistluste järjestused'!$B$23:$D$33,3,0),IF($B28="SK 2",VLOOKUP(V$4,'Võistluste järjestused'!$B$38:$D$47,3,0),IF($B28="SK 3",VLOOKUP(V$4,'Võistluste järjestused'!$B$52:$D$61,3,0),""))))),"",IF($B28="SK ALG",VLOOKUP(V$4,'Võistluste järjestused'!$B$11:$D$18,3,0),IF($B28="SK 1",VLOOKUP(V$4,'Võistluste järjestused'!$B$23:$D$33,3,0),IF($B28="SK 2",VLOOKUP(V$4,'Võistluste järjestused'!$B$38:$D$47,3,0),IF($B28="SK 3",VLOOKUP(V$4,'Võistluste järjestused'!$B$52:$D$61,3,0),"")))))</f>
      </c>
      <c r="W28" s="44">
        <f>IF(ISNA(IF($B28="SK ALG",VLOOKUP(W$4,'Võistluste järjestused'!$B$11:$D$18,3,0),IF($B28="SK 1",VLOOKUP(W$4,'Võistluste järjestused'!$B$23:$D$33,3,0),IF($B28="SK 2",VLOOKUP(W$4,'Võistluste järjestused'!$B$38:$D$47,3,0),IF($B28="SK 3",VLOOKUP(W$4,'Võistluste järjestused'!$B$52:$D$61,3,0),""))))),"",IF($B28="SK ALG",VLOOKUP(W$4,'Võistluste järjestused'!$B$11:$D$18,3,0),IF($B28="SK 1",VLOOKUP(W$4,'Võistluste järjestused'!$B$23:$D$33,3,0),IF($B28="SK 2",VLOOKUP(W$4,'Võistluste järjestused'!$B$38:$D$47,3,0),IF($B28="SK 3",VLOOKUP(W$4,'Võistluste järjestused'!$B$52:$D$61,3,0),"")))))</f>
      </c>
      <c r="X28" s="44">
        <f>IF(ISNA(IF($B28="SK ALG",VLOOKUP(X$4,'Võistluste järjestused'!$B$11:$D$18,3,0),IF($B28="SK 1",VLOOKUP(X$4,'Võistluste järjestused'!$B$23:$D$33,3,0),IF($B28="SK 2",VLOOKUP(X$4,'Võistluste järjestused'!$B$38:$D$47,3,0),IF($B28="SK 3",VLOOKUP(X$4,'Võistluste järjestused'!$B$52:$D$61,3,0),""))))),"",IF($B28="SK ALG",VLOOKUP(X$4,'Võistluste järjestused'!$B$11:$D$18,3,0),IF($B28="SK 1",VLOOKUP(X$4,'Võistluste järjestused'!$B$23:$D$33,3,0),IF($B28="SK 2",VLOOKUP(X$4,'Võistluste järjestused'!$B$38:$D$47,3,0),IF($B28="SK 3",VLOOKUP(X$4,'Võistluste järjestused'!$B$52:$D$61,3,0),"")))))</f>
      </c>
      <c r="Y28" s="44">
        <f>IF(ISNA(IF($B28="SK ALG",VLOOKUP(Y$4,'Võistluste järjestused'!$B$11:$D$18,3,0),IF($B28="SK 1",VLOOKUP(Y$4,'Võistluste järjestused'!$B$23:$D$33,3,0),IF($B28="SK 2",VLOOKUP(Y$4,'Võistluste järjestused'!$B$38:$D$47,3,0),IF($B28="SK 3",VLOOKUP(Y$4,'Võistluste järjestused'!$B$52:$D$61,3,0),""))))),"",IF($B28="SK ALG",VLOOKUP(Y$4,'Võistluste järjestused'!$B$11:$D$18,3,0),IF($B28="SK 1",VLOOKUP(Y$4,'Võistluste järjestused'!$B$23:$D$33,3,0),IF($B28="SK 2",VLOOKUP(Y$4,'Võistluste järjestused'!$B$38:$D$47,3,0),IF($B28="SK 3",VLOOKUP(Y$4,'Võistluste järjestused'!$B$52:$D$61,3,0),"")))))</f>
      </c>
      <c r="Z28" s="44">
        <f>IF(ISNA(IF($B28="SK ALG",VLOOKUP(Z$4,'Võistluste järjestused'!$B$11:$D$18,3,0),IF($B28="SK 1",VLOOKUP(Z$4,'Võistluste järjestused'!$B$23:$D$33,3,0),IF($B28="SK 2",VLOOKUP(Z$4,'Võistluste järjestused'!$B$38:$D$47,3,0),IF($B28="SK 3",VLOOKUP(Z$4,'Võistluste järjestused'!$B$52:$D$61,3,0),""))))),"",IF($B28="SK ALG",VLOOKUP(Z$4,'Võistluste järjestused'!$B$11:$D$18,3,0),IF($B28="SK 1",VLOOKUP(Z$4,'Võistluste järjestused'!$B$23:$D$33,3,0),IF($B28="SK 2",VLOOKUP(Z$4,'Võistluste järjestused'!$B$38:$D$47,3,0),IF($B28="SK 3",VLOOKUP(Z$4,'Võistluste järjestused'!$B$52:$D$61,3,0),"")))))</f>
      </c>
      <c r="AA28" s="44">
        <f>IF(ISNA(IF($B28="SK ALG",VLOOKUP(AA$4,'Võistluste järjestused'!$B$11:$D$18,3,0),IF($B28="SK 1",VLOOKUP(AA$4,'Võistluste järjestused'!$B$23:$D$33,3,0),IF($B28="SK 2",VLOOKUP(AA$4,'Võistluste järjestused'!$B$38:$D$47,3,0),IF($B28="SK 3",VLOOKUP(AA$4,'Võistluste järjestused'!$B$52:$D$61,3,0),""))))),"",IF($B28="SK ALG",VLOOKUP(AA$4,'Võistluste järjestused'!$B$11:$D$18,3,0),IF($B28="SK 1",VLOOKUP(AA$4,'Võistluste järjestused'!$B$23:$D$33,3,0),IF($B28="SK 2",VLOOKUP(AA$4,'Võistluste järjestused'!$B$38:$D$47,3,0),IF($B28="SK 3",VLOOKUP(AA$4,'Võistluste järjestused'!$B$52:$D$61,3,0),"")))))</f>
      </c>
      <c r="AB28" s="44">
        <f>IF(ISNA(IF($B28="SK ALG",VLOOKUP(AB$4,'Võistluste järjestused'!$B$11:$D$18,3,0),IF($B28="SK 1",VLOOKUP(AB$4,'Võistluste järjestused'!$B$23:$D$33,3,0),IF($B28="SK 2",VLOOKUP(AB$4,'Võistluste järjestused'!$B$38:$D$47,3,0),IF($B28="SK 3",VLOOKUP(AB$4,'Võistluste järjestused'!$B$52:$D$61,3,0),""))))),"",IF($B28="SK ALG",VLOOKUP(AB$4,'Võistluste järjestused'!$B$11:$D$18,3,0),IF($B28="SK 1",VLOOKUP(AB$4,'Võistluste järjestused'!$B$23:$D$33,3,0),IF($B28="SK 2",VLOOKUP(AB$4,'Võistluste järjestused'!$B$38:$D$47,3,0),IF($B28="SK 3",VLOOKUP(AB$4,'Võistluste järjestused'!$B$52:$D$61,3,0),"")))))</f>
      </c>
      <c r="AC28" s="44">
        <f>IF(ISNA(IF($B28="SK ALG",VLOOKUP(AC$4,'Võistluste järjestused'!$B$11:$D$18,3,0),IF($B28="SK 1",VLOOKUP(AC$4,'Võistluste järjestused'!$B$23:$D$33,3,0),IF($B28="SK 2",VLOOKUP(AC$4,'Võistluste järjestused'!$B$38:$D$47,3,0),IF($B28="SK 3",VLOOKUP(AC$4,'Võistluste järjestused'!$B$52:$D$61,3,0),""))))),"",IF($B28="SK ALG",VLOOKUP(AC$4,'Võistluste järjestused'!$B$11:$D$18,3,0),IF($B28="SK 1",VLOOKUP(AC$4,'Võistluste järjestused'!$B$23:$D$33,3,0),IF($B28="SK 2",VLOOKUP(AC$4,'Võistluste järjestused'!$B$38:$D$47,3,0),IF($B28="SK 3",VLOOKUP(AC$4,'Võistluste järjestused'!$B$52:$D$61,3,0),"")))))</f>
      </c>
      <c r="AD28" s="45"/>
      <c r="AE28" s="45"/>
      <c r="AF28" s="45"/>
      <c r="AG28" s="45"/>
      <c r="AH28" s="30">
        <f t="shared" si="6"/>
      </c>
      <c r="AI28" s="46">
        <f>IF(B28="","",IF(AH28="DSQ",0,H28*S28+I28*T28+J28*U28+K28*V28+L28*W28+M28*X28+N28*Y28+O28*Z28+P28*AA28+Q28*AB28+R28*AC28+AE28*'Võistluste järjestused'!D86))</f>
      </c>
      <c r="AJ28" s="30">
        <f>IF(B28="","",IF(AI28&gt;=VLOOKUP(B28,'Võistluste järjestused'!$F$18:$J$21,3,0),"I järk",IF(AI28&gt;=VLOOKUP(B28,'Võistluste järjestused'!$F$18:$J$21,4,0),"II järk",IF(AI28&gt;=VLOOKUP(B28,'Võistluste järjestused'!$F$18:$J$21,5,0),"III järk",0))))</f>
      </c>
      <c r="AK28" s="30">
        <f t="shared" si="0"/>
      </c>
      <c r="AL28" s="30">
        <f t="shared" si="1"/>
      </c>
      <c r="AM28" s="30">
        <f t="shared" si="2"/>
      </c>
      <c r="AN28" s="30">
        <f t="shared" si="3"/>
      </c>
      <c r="AO28" s="30">
        <f t="shared" si="4"/>
      </c>
      <c r="AP28" s="47">
        <f t="shared" si="5"/>
      </c>
      <c r="AR28" s="37"/>
    </row>
    <row r="29" spans="1:44" ht="25.5">
      <c r="A29" s="30">
        <v>25</v>
      </c>
      <c r="B29" s="40"/>
      <c r="C29" s="41"/>
      <c r="D29" s="41"/>
      <c r="E29" s="41"/>
      <c r="F29" s="40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>
        <f>IF(ISNA(IF($B29="SK ALG",VLOOKUP(S$4,'Võistluste järjestused'!$B$11:$D$18,3,0),IF($B29="SK 1",VLOOKUP(S$4,'Võistluste järjestused'!$B$23:$D$33,3,0),IF($B29="SK 2",VLOOKUP(S$4,'Võistluste järjestused'!$B$38:$D$47,3,0),IF($B29="SK 3",VLOOKUP(S$4,'Võistluste järjestused'!$B$52:$D$61,3,0),""))))),"",IF($B29="SK ALG",VLOOKUP(S$4,'Võistluste järjestused'!$B$11:$D$18,3,0),IF($B29="SK 1",VLOOKUP(S$4,'Võistluste järjestused'!$B$23:$D$33,3,0),IF($B29="SK 2",VLOOKUP(S$4,'Võistluste järjestused'!$B$38:$D$47,3,0),IF($B29="SK 3",VLOOKUP(S$4,'Võistluste järjestused'!$B$52:$D$61,3,0),"")))))</f>
      </c>
      <c r="T29" s="44">
        <f>IF(ISNA(IF($B29="SK ALG",VLOOKUP(T$4,'Võistluste järjestused'!$B$11:$D$18,3,0),IF($B29="SK 1",VLOOKUP(T$4,'Võistluste järjestused'!$B$23:$D$33,3,0),IF($B29="SK 2",VLOOKUP(T$4,'Võistluste järjestused'!$B$38:$D$47,3,0),IF($B29="SK 3",VLOOKUP(T$4,'Võistluste järjestused'!$B$52:$D$61,3,0),""))))),"",IF($B29="SK ALG",VLOOKUP(T$4,'Võistluste järjestused'!$B$11:$D$18,3,0),IF($B29="SK 1",VLOOKUP(T$4,'Võistluste järjestused'!$B$23:$D$33,3,0),IF($B29="SK 2",VLOOKUP(T$4,'Võistluste järjestused'!$B$38:$D$47,3,0),IF($B29="SK 3",VLOOKUP(T$4,'Võistluste järjestused'!$B$52:$D$61,3,0),"")))))</f>
      </c>
      <c r="U29" s="44">
        <f>IF(ISNA(IF($B29="SK ALG",VLOOKUP(U$4,'Võistluste järjestused'!$B$11:$D$18,3,0),IF($B29="SK 1",VLOOKUP(U$4,'Võistluste järjestused'!$B$23:$D$33,3,0),IF($B29="SK 2",VLOOKUP(U$4,'Võistluste järjestused'!$B$38:$D$47,3,0),IF($B29="SK 3",VLOOKUP(U$4,'Võistluste järjestused'!$B$52:$D$61,3,0),""))))),"",IF($B29="SK ALG",VLOOKUP(U$4,'Võistluste järjestused'!$B$11:$D$18,3,0),IF($B29="SK 1",VLOOKUP(U$4,'Võistluste järjestused'!$B$23:$D$33,3,0),IF($B29="SK 2",VLOOKUP(U$4,'Võistluste järjestused'!$B$38:$D$47,3,0),IF($B29="SK 3",VLOOKUP(U$4,'Võistluste järjestused'!$B$52:$D$61,3,0),"")))))</f>
      </c>
      <c r="V29" s="44">
        <f>IF(ISNA(IF($B29="SK ALG",VLOOKUP(V$4,'Võistluste järjestused'!$B$11:$D$18,3,0),IF($B29="SK 1",VLOOKUP(V$4,'Võistluste järjestused'!$B$23:$D$33,3,0),IF($B29="SK 2",VLOOKUP(V$4,'Võistluste järjestused'!$B$38:$D$47,3,0),IF($B29="SK 3",VLOOKUP(V$4,'Võistluste järjestused'!$B$52:$D$61,3,0),""))))),"",IF($B29="SK ALG",VLOOKUP(V$4,'Võistluste järjestused'!$B$11:$D$18,3,0),IF($B29="SK 1",VLOOKUP(V$4,'Võistluste järjestused'!$B$23:$D$33,3,0),IF($B29="SK 2",VLOOKUP(V$4,'Võistluste järjestused'!$B$38:$D$47,3,0),IF($B29="SK 3",VLOOKUP(V$4,'Võistluste järjestused'!$B$52:$D$61,3,0),"")))))</f>
      </c>
      <c r="W29" s="44">
        <f>IF(ISNA(IF($B29="SK ALG",VLOOKUP(W$4,'Võistluste järjestused'!$B$11:$D$18,3,0),IF($B29="SK 1",VLOOKUP(W$4,'Võistluste järjestused'!$B$23:$D$33,3,0),IF($B29="SK 2",VLOOKUP(W$4,'Võistluste järjestused'!$B$38:$D$47,3,0),IF($B29="SK 3",VLOOKUP(W$4,'Võistluste järjestused'!$B$52:$D$61,3,0),""))))),"",IF($B29="SK ALG",VLOOKUP(W$4,'Võistluste järjestused'!$B$11:$D$18,3,0),IF($B29="SK 1",VLOOKUP(W$4,'Võistluste järjestused'!$B$23:$D$33,3,0),IF($B29="SK 2",VLOOKUP(W$4,'Võistluste järjestused'!$B$38:$D$47,3,0),IF($B29="SK 3",VLOOKUP(W$4,'Võistluste järjestused'!$B$52:$D$61,3,0),"")))))</f>
      </c>
      <c r="X29" s="44">
        <f>IF(ISNA(IF($B29="SK ALG",VLOOKUP(X$4,'Võistluste järjestused'!$B$11:$D$18,3,0),IF($B29="SK 1",VLOOKUP(X$4,'Võistluste järjestused'!$B$23:$D$33,3,0),IF($B29="SK 2",VLOOKUP(X$4,'Võistluste järjestused'!$B$38:$D$47,3,0),IF($B29="SK 3",VLOOKUP(X$4,'Võistluste järjestused'!$B$52:$D$61,3,0),""))))),"",IF($B29="SK ALG",VLOOKUP(X$4,'Võistluste järjestused'!$B$11:$D$18,3,0),IF($B29="SK 1",VLOOKUP(X$4,'Võistluste järjestused'!$B$23:$D$33,3,0),IF($B29="SK 2",VLOOKUP(X$4,'Võistluste järjestused'!$B$38:$D$47,3,0),IF($B29="SK 3",VLOOKUP(X$4,'Võistluste järjestused'!$B$52:$D$61,3,0),"")))))</f>
      </c>
      <c r="Y29" s="44">
        <f>IF(ISNA(IF($B29="SK ALG",VLOOKUP(Y$4,'Võistluste järjestused'!$B$11:$D$18,3,0),IF($B29="SK 1",VLOOKUP(Y$4,'Võistluste järjestused'!$B$23:$D$33,3,0),IF($B29="SK 2",VLOOKUP(Y$4,'Võistluste järjestused'!$B$38:$D$47,3,0),IF($B29="SK 3",VLOOKUP(Y$4,'Võistluste järjestused'!$B$52:$D$61,3,0),""))))),"",IF($B29="SK ALG",VLOOKUP(Y$4,'Võistluste järjestused'!$B$11:$D$18,3,0),IF($B29="SK 1",VLOOKUP(Y$4,'Võistluste järjestused'!$B$23:$D$33,3,0),IF($B29="SK 2",VLOOKUP(Y$4,'Võistluste järjestused'!$B$38:$D$47,3,0),IF($B29="SK 3",VLOOKUP(Y$4,'Võistluste järjestused'!$B$52:$D$61,3,0),"")))))</f>
      </c>
      <c r="Z29" s="44">
        <f>IF(ISNA(IF($B29="SK ALG",VLOOKUP(Z$4,'Võistluste järjestused'!$B$11:$D$18,3,0),IF($B29="SK 1",VLOOKUP(Z$4,'Võistluste järjestused'!$B$23:$D$33,3,0),IF($B29="SK 2",VLOOKUP(Z$4,'Võistluste järjestused'!$B$38:$D$47,3,0),IF($B29="SK 3",VLOOKUP(Z$4,'Võistluste järjestused'!$B$52:$D$61,3,0),""))))),"",IF($B29="SK ALG",VLOOKUP(Z$4,'Võistluste järjestused'!$B$11:$D$18,3,0),IF($B29="SK 1",VLOOKUP(Z$4,'Võistluste järjestused'!$B$23:$D$33,3,0),IF($B29="SK 2",VLOOKUP(Z$4,'Võistluste järjestused'!$B$38:$D$47,3,0),IF($B29="SK 3",VLOOKUP(Z$4,'Võistluste järjestused'!$B$52:$D$61,3,0),"")))))</f>
      </c>
      <c r="AA29" s="44">
        <f>IF(ISNA(IF($B29="SK ALG",VLOOKUP(AA$4,'Võistluste järjestused'!$B$11:$D$18,3,0),IF($B29="SK 1",VLOOKUP(AA$4,'Võistluste järjestused'!$B$23:$D$33,3,0),IF($B29="SK 2",VLOOKUP(AA$4,'Võistluste järjestused'!$B$38:$D$47,3,0),IF($B29="SK 3",VLOOKUP(AA$4,'Võistluste järjestused'!$B$52:$D$61,3,0),""))))),"",IF($B29="SK ALG",VLOOKUP(AA$4,'Võistluste järjestused'!$B$11:$D$18,3,0),IF($B29="SK 1",VLOOKUP(AA$4,'Võistluste järjestused'!$B$23:$D$33,3,0),IF($B29="SK 2",VLOOKUP(AA$4,'Võistluste järjestused'!$B$38:$D$47,3,0),IF($B29="SK 3",VLOOKUP(AA$4,'Võistluste järjestused'!$B$52:$D$61,3,0),"")))))</f>
      </c>
      <c r="AB29" s="44">
        <f>IF(ISNA(IF($B29="SK ALG",VLOOKUP(AB$4,'Võistluste järjestused'!$B$11:$D$18,3,0),IF($B29="SK 1",VLOOKUP(AB$4,'Võistluste järjestused'!$B$23:$D$33,3,0),IF($B29="SK 2",VLOOKUP(AB$4,'Võistluste järjestused'!$B$38:$D$47,3,0),IF($B29="SK 3",VLOOKUP(AB$4,'Võistluste järjestused'!$B$52:$D$61,3,0),""))))),"",IF($B29="SK ALG",VLOOKUP(AB$4,'Võistluste järjestused'!$B$11:$D$18,3,0),IF($B29="SK 1",VLOOKUP(AB$4,'Võistluste järjestused'!$B$23:$D$33,3,0),IF($B29="SK 2",VLOOKUP(AB$4,'Võistluste järjestused'!$B$38:$D$47,3,0),IF($B29="SK 3",VLOOKUP(AB$4,'Võistluste järjestused'!$B$52:$D$61,3,0),"")))))</f>
      </c>
      <c r="AC29" s="44">
        <f>IF(ISNA(IF($B29="SK ALG",VLOOKUP(AC$4,'Võistluste järjestused'!$B$11:$D$18,3,0),IF($B29="SK 1",VLOOKUP(AC$4,'Võistluste järjestused'!$B$23:$D$33,3,0),IF($B29="SK 2",VLOOKUP(AC$4,'Võistluste järjestused'!$B$38:$D$47,3,0),IF($B29="SK 3",VLOOKUP(AC$4,'Võistluste järjestused'!$B$52:$D$61,3,0),""))))),"",IF($B29="SK ALG",VLOOKUP(AC$4,'Võistluste järjestused'!$B$11:$D$18,3,0),IF($B29="SK 1",VLOOKUP(AC$4,'Võistluste järjestused'!$B$23:$D$33,3,0),IF($B29="SK 2",VLOOKUP(AC$4,'Võistluste järjestused'!$B$38:$D$47,3,0),IF($B29="SK 3",VLOOKUP(AC$4,'Võistluste järjestused'!$B$52:$D$61,3,0),"")))))</f>
      </c>
      <c r="AD29" s="45"/>
      <c r="AE29" s="45"/>
      <c r="AF29" s="45"/>
      <c r="AG29" s="45"/>
      <c r="AH29" s="30">
        <f t="shared" si="6"/>
      </c>
      <c r="AI29" s="46">
        <f>IF(B29="","",IF(AH29="DSQ",0,H29*S29+I29*T29+J29*U29+K29*V29+L29*W29+M29*X29+N29*Y29+O29*Z29+P29*AA29+Q29*AB29+R29*AC29+AE29*'Võistluste järjestused'!D87))</f>
      </c>
      <c r="AJ29" s="30">
        <f>IF(B29="","",IF(AI29&gt;=VLOOKUP(B29,'Võistluste järjestused'!$F$18:$J$21,3,0),"I järk",IF(AI29&gt;=VLOOKUP(B29,'Võistluste järjestused'!$F$18:$J$21,4,0),"II järk",IF(AI29&gt;=VLOOKUP(B29,'Võistluste järjestused'!$F$18:$J$21,5,0),"III järk",0))))</f>
      </c>
      <c r="AK29" s="30">
        <f t="shared" si="0"/>
      </c>
      <c r="AL29" s="30">
        <f t="shared" si="1"/>
      </c>
      <c r="AM29" s="30">
        <f t="shared" si="2"/>
      </c>
      <c r="AN29" s="30">
        <f t="shared" si="3"/>
      </c>
      <c r="AO29" s="30">
        <f t="shared" si="4"/>
      </c>
      <c r="AP29" s="47">
        <f t="shared" si="5"/>
      </c>
      <c r="AR29" s="37"/>
    </row>
    <row r="30" spans="1:44" ht="25.5">
      <c r="A30" s="30">
        <v>26</v>
      </c>
      <c r="B30" s="40"/>
      <c r="C30" s="41"/>
      <c r="D30" s="41"/>
      <c r="E30" s="41"/>
      <c r="F30" s="40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>
        <f>IF(ISNA(IF($B30="SK ALG",VLOOKUP(S$4,'Võistluste järjestused'!$B$11:$D$18,3,0),IF($B30="SK 1",VLOOKUP(S$4,'Võistluste järjestused'!$B$23:$D$33,3,0),IF($B30="SK 2",VLOOKUP(S$4,'Võistluste järjestused'!$B$38:$D$47,3,0),IF($B30="SK 3",VLOOKUP(S$4,'Võistluste järjestused'!$B$52:$D$61,3,0),""))))),"",IF($B30="SK ALG",VLOOKUP(S$4,'Võistluste järjestused'!$B$11:$D$18,3,0),IF($B30="SK 1",VLOOKUP(S$4,'Võistluste järjestused'!$B$23:$D$33,3,0),IF($B30="SK 2",VLOOKUP(S$4,'Võistluste järjestused'!$B$38:$D$47,3,0),IF($B30="SK 3",VLOOKUP(S$4,'Võistluste järjestused'!$B$52:$D$61,3,0),"")))))</f>
      </c>
      <c r="T30" s="44">
        <f>IF(ISNA(IF($B30="SK ALG",VLOOKUP(T$4,'Võistluste järjestused'!$B$11:$D$18,3,0),IF($B30="SK 1",VLOOKUP(T$4,'Võistluste järjestused'!$B$23:$D$33,3,0),IF($B30="SK 2",VLOOKUP(T$4,'Võistluste järjestused'!$B$38:$D$47,3,0),IF($B30="SK 3",VLOOKUP(T$4,'Võistluste järjestused'!$B$52:$D$61,3,0),""))))),"",IF($B30="SK ALG",VLOOKUP(T$4,'Võistluste järjestused'!$B$11:$D$18,3,0),IF($B30="SK 1",VLOOKUP(T$4,'Võistluste järjestused'!$B$23:$D$33,3,0),IF($B30="SK 2",VLOOKUP(T$4,'Võistluste järjestused'!$B$38:$D$47,3,0),IF($B30="SK 3",VLOOKUP(T$4,'Võistluste järjestused'!$B$52:$D$61,3,0),"")))))</f>
      </c>
      <c r="U30" s="44">
        <f>IF(ISNA(IF($B30="SK ALG",VLOOKUP(U$4,'Võistluste järjestused'!$B$11:$D$18,3,0),IF($B30="SK 1",VLOOKUP(U$4,'Võistluste järjestused'!$B$23:$D$33,3,0),IF($B30="SK 2",VLOOKUP(U$4,'Võistluste järjestused'!$B$38:$D$47,3,0),IF($B30="SK 3",VLOOKUP(U$4,'Võistluste järjestused'!$B$52:$D$61,3,0),""))))),"",IF($B30="SK ALG",VLOOKUP(U$4,'Võistluste järjestused'!$B$11:$D$18,3,0),IF($B30="SK 1",VLOOKUP(U$4,'Võistluste järjestused'!$B$23:$D$33,3,0),IF($B30="SK 2",VLOOKUP(U$4,'Võistluste järjestused'!$B$38:$D$47,3,0),IF($B30="SK 3",VLOOKUP(U$4,'Võistluste järjestused'!$B$52:$D$61,3,0),"")))))</f>
      </c>
      <c r="V30" s="44">
        <f>IF(ISNA(IF($B30="SK ALG",VLOOKUP(V$4,'Võistluste järjestused'!$B$11:$D$18,3,0),IF($B30="SK 1",VLOOKUP(V$4,'Võistluste järjestused'!$B$23:$D$33,3,0),IF($B30="SK 2",VLOOKUP(V$4,'Võistluste järjestused'!$B$38:$D$47,3,0),IF($B30="SK 3",VLOOKUP(V$4,'Võistluste järjestused'!$B$52:$D$61,3,0),""))))),"",IF($B30="SK ALG",VLOOKUP(V$4,'Võistluste järjestused'!$B$11:$D$18,3,0),IF($B30="SK 1",VLOOKUP(V$4,'Võistluste järjestused'!$B$23:$D$33,3,0),IF($B30="SK 2",VLOOKUP(V$4,'Võistluste järjestused'!$B$38:$D$47,3,0),IF($B30="SK 3",VLOOKUP(V$4,'Võistluste järjestused'!$B$52:$D$61,3,0),"")))))</f>
      </c>
      <c r="W30" s="44">
        <f>IF(ISNA(IF($B30="SK ALG",VLOOKUP(W$4,'Võistluste järjestused'!$B$11:$D$18,3,0),IF($B30="SK 1",VLOOKUP(W$4,'Võistluste järjestused'!$B$23:$D$33,3,0),IF($B30="SK 2",VLOOKUP(W$4,'Võistluste järjestused'!$B$38:$D$47,3,0),IF($B30="SK 3",VLOOKUP(W$4,'Võistluste järjestused'!$B$52:$D$61,3,0),""))))),"",IF($B30="SK ALG",VLOOKUP(W$4,'Võistluste järjestused'!$B$11:$D$18,3,0),IF($B30="SK 1",VLOOKUP(W$4,'Võistluste järjestused'!$B$23:$D$33,3,0),IF($B30="SK 2",VLOOKUP(W$4,'Võistluste järjestused'!$B$38:$D$47,3,0),IF($B30="SK 3",VLOOKUP(W$4,'Võistluste järjestused'!$B$52:$D$61,3,0),"")))))</f>
      </c>
      <c r="X30" s="44">
        <f>IF(ISNA(IF($B30="SK ALG",VLOOKUP(X$4,'Võistluste järjestused'!$B$11:$D$18,3,0),IF($B30="SK 1",VLOOKUP(X$4,'Võistluste järjestused'!$B$23:$D$33,3,0),IF($B30="SK 2",VLOOKUP(X$4,'Võistluste järjestused'!$B$38:$D$47,3,0),IF($B30="SK 3",VLOOKUP(X$4,'Võistluste järjestused'!$B$52:$D$61,3,0),""))))),"",IF($B30="SK ALG",VLOOKUP(X$4,'Võistluste järjestused'!$B$11:$D$18,3,0),IF($B30="SK 1",VLOOKUP(X$4,'Võistluste järjestused'!$B$23:$D$33,3,0),IF($B30="SK 2",VLOOKUP(X$4,'Võistluste järjestused'!$B$38:$D$47,3,0),IF($B30="SK 3",VLOOKUP(X$4,'Võistluste järjestused'!$B$52:$D$61,3,0),"")))))</f>
      </c>
      <c r="Y30" s="44">
        <f>IF(ISNA(IF($B30="SK ALG",VLOOKUP(Y$4,'Võistluste järjestused'!$B$11:$D$18,3,0),IF($B30="SK 1",VLOOKUP(Y$4,'Võistluste järjestused'!$B$23:$D$33,3,0),IF($B30="SK 2",VLOOKUP(Y$4,'Võistluste järjestused'!$B$38:$D$47,3,0),IF($B30="SK 3",VLOOKUP(Y$4,'Võistluste järjestused'!$B$52:$D$61,3,0),""))))),"",IF($B30="SK ALG",VLOOKUP(Y$4,'Võistluste järjestused'!$B$11:$D$18,3,0),IF($B30="SK 1",VLOOKUP(Y$4,'Võistluste järjestused'!$B$23:$D$33,3,0),IF($B30="SK 2",VLOOKUP(Y$4,'Võistluste järjestused'!$B$38:$D$47,3,0),IF($B30="SK 3",VLOOKUP(Y$4,'Võistluste järjestused'!$B$52:$D$61,3,0),"")))))</f>
      </c>
      <c r="Z30" s="44">
        <f>IF(ISNA(IF($B30="SK ALG",VLOOKUP(Z$4,'Võistluste järjestused'!$B$11:$D$18,3,0),IF($B30="SK 1",VLOOKUP(Z$4,'Võistluste järjestused'!$B$23:$D$33,3,0),IF($B30="SK 2",VLOOKUP(Z$4,'Võistluste järjestused'!$B$38:$D$47,3,0),IF($B30="SK 3",VLOOKUP(Z$4,'Võistluste järjestused'!$B$52:$D$61,3,0),""))))),"",IF($B30="SK ALG",VLOOKUP(Z$4,'Võistluste järjestused'!$B$11:$D$18,3,0),IF($B30="SK 1",VLOOKUP(Z$4,'Võistluste järjestused'!$B$23:$D$33,3,0),IF($B30="SK 2",VLOOKUP(Z$4,'Võistluste järjestused'!$B$38:$D$47,3,0),IF($B30="SK 3",VLOOKUP(Z$4,'Võistluste järjestused'!$B$52:$D$61,3,0),"")))))</f>
      </c>
      <c r="AA30" s="44">
        <f>IF(ISNA(IF($B30="SK ALG",VLOOKUP(AA$4,'Võistluste järjestused'!$B$11:$D$18,3,0),IF($B30="SK 1",VLOOKUP(AA$4,'Võistluste järjestused'!$B$23:$D$33,3,0),IF($B30="SK 2",VLOOKUP(AA$4,'Võistluste järjestused'!$B$38:$D$47,3,0),IF($B30="SK 3",VLOOKUP(AA$4,'Võistluste järjestused'!$B$52:$D$61,3,0),""))))),"",IF($B30="SK ALG",VLOOKUP(AA$4,'Võistluste järjestused'!$B$11:$D$18,3,0),IF($B30="SK 1",VLOOKUP(AA$4,'Võistluste järjestused'!$B$23:$D$33,3,0),IF($B30="SK 2",VLOOKUP(AA$4,'Võistluste järjestused'!$B$38:$D$47,3,0),IF($B30="SK 3",VLOOKUP(AA$4,'Võistluste järjestused'!$B$52:$D$61,3,0),"")))))</f>
      </c>
      <c r="AB30" s="44">
        <f>IF(ISNA(IF($B30="SK ALG",VLOOKUP(AB$4,'Võistluste järjestused'!$B$11:$D$18,3,0),IF($B30="SK 1",VLOOKUP(AB$4,'Võistluste järjestused'!$B$23:$D$33,3,0),IF($B30="SK 2",VLOOKUP(AB$4,'Võistluste järjestused'!$B$38:$D$47,3,0),IF($B30="SK 3",VLOOKUP(AB$4,'Võistluste järjestused'!$B$52:$D$61,3,0),""))))),"",IF($B30="SK ALG",VLOOKUP(AB$4,'Võistluste järjestused'!$B$11:$D$18,3,0),IF($B30="SK 1",VLOOKUP(AB$4,'Võistluste järjestused'!$B$23:$D$33,3,0),IF($B30="SK 2",VLOOKUP(AB$4,'Võistluste järjestused'!$B$38:$D$47,3,0),IF($B30="SK 3",VLOOKUP(AB$4,'Võistluste järjestused'!$B$52:$D$61,3,0),"")))))</f>
      </c>
      <c r="AC30" s="44">
        <f>IF(ISNA(IF($B30="SK ALG",VLOOKUP(AC$4,'Võistluste järjestused'!$B$11:$D$18,3,0),IF($B30="SK 1",VLOOKUP(AC$4,'Võistluste järjestused'!$B$23:$D$33,3,0),IF($B30="SK 2",VLOOKUP(AC$4,'Võistluste järjestused'!$B$38:$D$47,3,0),IF($B30="SK 3",VLOOKUP(AC$4,'Võistluste järjestused'!$B$52:$D$61,3,0),""))))),"",IF($B30="SK ALG",VLOOKUP(AC$4,'Võistluste järjestused'!$B$11:$D$18,3,0),IF($B30="SK 1",VLOOKUP(AC$4,'Võistluste järjestused'!$B$23:$D$33,3,0),IF($B30="SK 2",VLOOKUP(AC$4,'Võistluste järjestused'!$B$38:$D$47,3,0),IF($B30="SK 3",VLOOKUP(AC$4,'Võistluste järjestused'!$B$52:$D$61,3,0),"")))))</f>
      </c>
      <c r="AD30" s="45"/>
      <c r="AE30" s="45"/>
      <c r="AF30" s="45"/>
      <c r="AG30" s="45"/>
      <c r="AH30" s="30">
        <f t="shared" si="6"/>
      </c>
      <c r="AI30" s="46">
        <f>IF(B30="","",IF(AH30="DSQ",0,H30*S30+I30*T30+J30*U30+K30*V30+L30*W30+M30*X30+N30*Y30+O30*Z30+P30*AA30+Q30*AB30+R30*AC30+AE30*'Võistluste järjestused'!D88))</f>
      </c>
      <c r="AJ30" s="30">
        <f>IF(B30="","",IF(AI30&gt;=VLOOKUP(B30,'Võistluste järjestused'!$F$18:$J$21,3,0),"I järk",IF(AI30&gt;=VLOOKUP(B30,'Võistluste järjestused'!$F$18:$J$21,4,0),"II järk",IF(AI30&gt;=VLOOKUP(B30,'Võistluste järjestused'!$F$18:$J$21,5,0),"III järk",0))))</f>
      </c>
      <c r="AK30" s="30">
        <f t="shared" si="0"/>
      </c>
      <c r="AL30" s="30">
        <f t="shared" si="1"/>
      </c>
      <c r="AM30" s="30">
        <f t="shared" si="2"/>
      </c>
      <c r="AN30" s="30">
        <f t="shared" si="3"/>
      </c>
      <c r="AO30" s="30">
        <f t="shared" si="4"/>
      </c>
      <c r="AP30" s="47">
        <f t="shared" si="5"/>
      </c>
      <c r="AR30" s="37"/>
    </row>
    <row r="31" spans="1:44" ht="25.5">
      <c r="A31" s="30">
        <v>27</v>
      </c>
      <c r="B31" s="40"/>
      <c r="C31" s="41"/>
      <c r="D31" s="41"/>
      <c r="E31" s="41"/>
      <c r="F31" s="40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>
        <f>IF(ISNA(IF($B31="SK ALG",VLOOKUP(S$4,'Võistluste järjestused'!$B$11:$D$18,3,0),IF($B31="SK 1",VLOOKUP(S$4,'Võistluste järjestused'!$B$23:$D$33,3,0),IF($B31="SK 2",VLOOKUP(S$4,'Võistluste järjestused'!$B$38:$D$47,3,0),IF($B31="SK 3",VLOOKUP(S$4,'Võistluste järjestused'!$B$52:$D$61,3,0),""))))),"",IF($B31="SK ALG",VLOOKUP(S$4,'Võistluste järjestused'!$B$11:$D$18,3,0),IF($B31="SK 1",VLOOKUP(S$4,'Võistluste järjestused'!$B$23:$D$33,3,0),IF($B31="SK 2",VLOOKUP(S$4,'Võistluste järjestused'!$B$38:$D$47,3,0),IF($B31="SK 3",VLOOKUP(S$4,'Võistluste järjestused'!$B$52:$D$61,3,0),"")))))</f>
      </c>
      <c r="T31" s="44">
        <f>IF(ISNA(IF($B31="SK ALG",VLOOKUP(T$4,'Võistluste järjestused'!$B$11:$D$18,3,0),IF($B31="SK 1",VLOOKUP(T$4,'Võistluste järjestused'!$B$23:$D$33,3,0),IF($B31="SK 2",VLOOKUP(T$4,'Võistluste järjestused'!$B$38:$D$47,3,0),IF($B31="SK 3",VLOOKUP(T$4,'Võistluste järjestused'!$B$52:$D$61,3,0),""))))),"",IF($B31="SK ALG",VLOOKUP(T$4,'Võistluste järjestused'!$B$11:$D$18,3,0),IF($B31="SK 1",VLOOKUP(T$4,'Võistluste järjestused'!$B$23:$D$33,3,0),IF($B31="SK 2",VLOOKUP(T$4,'Võistluste järjestused'!$B$38:$D$47,3,0),IF($B31="SK 3",VLOOKUP(T$4,'Võistluste järjestused'!$B$52:$D$61,3,0),"")))))</f>
      </c>
      <c r="U31" s="44">
        <f>IF(ISNA(IF($B31="SK ALG",VLOOKUP(U$4,'Võistluste järjestused'!$B$11:$D$18,3,0),IF($B31="SK 1",VLOOKUP(U$4,'Võistluste järjestused'!$B$23:$D$33,3,0),IF($B31="SK 2",VLOOKUP(U$4,'Võistluste järjestused'!$B$38:$D$47,3,0),IF($B31="SK 3",VLOOKUP(U$4,'Võistluste järjestused'!$B$52:$D$61,3,0),""))))),"",IF($B31="SK ALG",VLOOKUP(U$4,'Võistluste järjestused'!$B$11:$D$18,3,0),IF($B31="SK 1",VLOOKUP(U$4,'Võistluste järjestused'!$B$23:$D$33,3,0),IF($B31="SK 2",VLOOKUP(U$4,'Võistluste järjestused'!$B$38:$D$47,3,0),IF($B31="SK 3",VLOOKUP(U$4,'Võistluste järjestused'!$B$52:$D$61,3,0),"")))))</f>
      </c>
      <c r="V31" s="44">
        <f>IF(ISNA(IF($B31="SK ALG",VLOOKUP(V$4,'Võistluste järjestused'!$B$11:$D$18,3,0),IF($B31="SK 1",VLOOKUP(V$4,'Võistluste järjestused'!$B$23:$D$33,3,0),IF($B31="SK 2",VLOOKUP(V$4,'Võistluste järjestused'!$B$38:$D$47,3,0),IF($B31="SK 3",VLOOKUP(V$4,'Võistluste järjestused'!$B$52:$D$61,3,0),""))))),"",IF($B31="SK ALG",VLOOKUP(V$4,'Võistluste järjestused'!$B$11:$D$18,3,0),IF($B31="SK 1",VLOOKUP(V$4,'Võistluste järjestused'!$B$23:$D$33,3,0),IF($B31="SK 2",VLOOKUP(V$4,'Võistluste järjestused'!$B$38:$D$47,3,0),IF($B31="SK 3",VLOOKUP(V$4,'Võistluste järjestused'!$B$52:$D$61,3,0),"")))))</f>
      </c>
      <c r="W31" s="44">
        <f>IF(ISNA(IF($B31="SK ALG",VLOOKUP(W$4,'Võistluste järjestused'!$B$11:$D$18,3,0),IF($B31="SK 1",VLOOKUP(W$4,'Võistluste järjestused'!$B$23:$D$33,3,0),IF($B31="SK 2",VLOOKUP(W$4,'Võistluste järjestused'!$B$38:$D$47,3,0),IF($B31="SK 3",VLOOKUP(W$4,'Võistluste järjestused'!$B$52:$D$61,3,0),""))))),"",IF($B31="SK ALG",VLOOKUP(W$4,'Võistluste järjestused'!$B$11:$D$18,3,0),IF($B31="SK 1",VLOOKUP(W$4,'Võistluste järjestused'!$B$23:$D$33,3,0),IF($B31="SK 2",VLOOKUP(W$4,'Võistluste järjestused'!$B$38:$D$47,3,0),IF($B31="SK 3",VLOOKUP(W$4,'Võistluste järjestused'!$B$52:$D$61,3,0),"")))))</f>
      </c>
      <c r="X31" s="44">
        <f>IF(ISNA(IF($B31="SK ALG",VLOOKUP(X$4,'Võistluste järjestused'!$B$11:$D$18,3,0),IF($B31="SK 1",VLOOKUP(X$4,'Võistluste järjestused'!$B$23:$D$33,3,0),IF($B31="SK 2",VLOOKUP(X$4,'Võistluste järjestused'!$B$38:$D$47,3,0),IF($B31="SK 3",VLOOKUP(X$4,'Võistluste järjestused'!$B$52:$D$61,3,0),""))))),"",IF($B31="SK ALG",VLOOKUP(X$4,'Võistluste järjestused'!$B$11:$D$18,3,0),IF($B31="SK 1",VLOOKUP(X$4,'Võistluste järjestused'!$B$23:$D$33,3,0),IF($B31="SK 2",VLOOKUP(X$4,'Võistluste järjestused'!$B$38:$D$47,3,0),IF($B31="SK 3",VLOOKUP(X$4,'Võistluste järjestused'!$B$52:$D$61,3,0),"")))))</f>
      </c>
      <c r="Y31" s="44">
        <f>IF(ISNA(IF($B31="SK ALG",VLOOKUP(Y$4,'Võistluste järjestused'!$B$11:$D$18,3,0),IF($B31="SK 1",VLOOKUP(Y$4,'Võistluste järjestused'!$B$23:$D$33,3,0),IF($B31="SK 2",VLOOKUP(Y$4,'Võistluste järjestused'!$B$38:$D$47,3,0),IF($B31="SK 3",VLOOKUP(Y$4,'Võistluste järjestused'!$B$52:$D$61,3,0),""))))),"",IF($B31="SK ALG",VLOOKUP(Y$4,'Võistluste järjestused'!$B$11:$D$18,3,0),IF($B31="SK 1",VLOOKUP(Y$4,'Võistluste järjestused'!$B$23:$D$33,3,0),IF($B31="SK 2",VLOOKUP(Y$4,'Võistluste järjestused'!$B$38:$D$47,3,0),IF($B31="SK 3",VLOOKUP(Y$4,'Võistluste järjestused'!$B$52:$D$61,3,0),"")))))</f>
      </c>
      <c r="Z31" s="44">
        <f>IF(ISNA(IF($B31="SK ALG",VLOOKUP(Z$4,'Võistluste järjestused'!$B$11:$D$18,3,0),IF($B31="SK 1",VLOOKUP(Z$4,'Võistluste järjestused'!$B$23:$D$33,3,0),IF($B31="SK 2",VLOOKUP(Z$4,'Võistluste järjestused'!$B$38:$D$47,3,0),IF($B31="SK 3",VLOOKUP(Z$4,'Võistluste järjestused'!$B$52:$D$61,3,0),""))))),"",IF($B31="SK ALG",VLOOKUP(Z$4,'Võistluste järjestused'!$B$11:$D$18,3,0),IF($B31="SK 1",VLOOKUP(Z$4,'Võistluste järjestused'!$B$23:$D$33,3,0),IF($B31="SK 2",VLOOKUP(Z$4,'Võistluste järjestused'!$B$38:$D$47,3,0),IF($B31="SK 3",VLOOKUP(Z$4,'Võistluste järjestused'!$B$52:$D$61,3,0),"")))))</f>
      </c>
      <c r="AA31" s="44">
        <f>IF(ISNA(IF($B31="SK ALG",VLOOKUP(AA$4,'Võistluste järjestused'!$B$11:$D$18,3,0),IF($B31="SK 1",VLOOKUP(AA$4,'Võistluste järjestused'!$B$23:$D$33,3,0),IF($B31="SK 2",VLOOKUP(AA$4,'Võistluste järjestused'!$B$38:$D$47,3,0),IF($B31="SK 3",VLOOKUP(AA$4,'Võistluste järjestused'!$B$52:$D$61,3,0),""))))),"",IF($B31="SK ALG",VLOOKUP(AA$4,'Võistluste järjestused'!$B$11:$D$18,3,0),IF($B31="SK 1",VLOOKUP(AA$4,'Võistluste järjestused'!$B$23:$D$33,3,0),IF($B31="SK 2",VLOOKUP(AA$4,'Võistluste järjestused'!$B$38:$D$47,3,0),IF($B31="SK 3",VLOOKUP(AA$4,'Võistluste järjestused'!$B$52:$D$61,3,0),"")))))</f>
      </c>
      <c r="AB31" s="44">
        <f>IF(ISNA(IF($B31="SK ALG",VLOOKUP(AB$4,'Võistluste järjestused'!$B$11:$D$18,3,0),IF($B31="SK 1",VLOOKUP(AB$4,'Võistluste järjestused'!$B$23:$D$33,3,0),IF($B31="SK 2",VLOOKUP(AB$4,'Võistluste järjestused'!$B$38:$D$47,3,0),IF($B31="SK 3",VLOOKUP(AB$4,'Võistluste järjestused'!$B$52:$D$61,3,0),""))))),"",IF($B31="SK ALG",VLOOKUP(AB$4,'Võistluste järjestused'!$B$11:$D$18,3,0),IF($B31="SK 1",VLOOKUP(AB$4,'Võistluste järjestused'!$B$23:$D$33,3,0),IF($B31="SK 2",VLOOKUP(AB$4,'Võistluste järjestused'!$B$38:$D$47,3,0),IF($B31="SK 3",VLOOKUP(AB$4,'Võistluste järjestused'!$B$52:$D$61,3,0),"")))))</f>
      </c>
      <c r="AC31" s="44">
        <f>IF(ISNA(IF($B31="SK ALG",VLOOKUP(AC$4,'Võistluste järjestused'!$B$11:$D$18,3,0),IF($B31="SK 1",VLOOKUP(AC$4,'Võistluste järjestused'!$B$23:$D$33,3,0),IF($B31="SK 2",VLOOKUP(AC$4,'Võistluste järjestused'!$B$38:$D$47,3,0),IF($B31="SK 3",VLOOKUP(AC$4,'Võistluste järjestused'!$B$52:$D$61,3,0),""))))),"",IF($B31="SK ALG",VLOOKUP(AC$4,'Võistluste järjestused'!$B$11:$D$18,3,0),IF($B31="SK 1",VLOOKUP(AC$4,'Võistluste järjestused'!$B$23:$D$33,3,0),IF($B31="SK 2",VLOOKUP(AC$4,'Võistluste järjestused'!$B$38:$D$47,3,0),IF($B31="SK 3",VLOOKUP(AC$4,'Võistluste järjestused'!$B$52:$D$61,3,0),"")))))</f>
      </c>
      <c r="AD31" s="45"/>
      <c r="AE31" s="45"/>
      <c r="AF31" s="45"/>
      <c r="AG31" s="45"/>
      <c r="AH31" s="30">
        <f t="shared" si="6"/>
      </c>
      <c r="AI31" s="46">
        <f>IF(B31="","",IF(AH31="DSQ",0,H31*S31+I31*T31+J31*U31+K31*V31+L31*W31+M31*X31+N31*Y31+O31*Z31+P31*AA31+Q31*AB31+R31*AC31+AE31*'Võistluste järjestused'!D89))</f>
      </c>
      <c r="AJ31" s="30">
        <f>IF(B31="","",IF(AI31&gt;=VLOOKUP(B31,'Võistluste järjestused'!$F$18:$J$21,3,0),"I järk",IF(AI31&gt;=VLOOKUP(B31,'Võistluste järjestused'!$F$18:$J$21,4,0),"II järk",IF(AI31&gt;=VLOOKUP(B31,'Võistluste järjestused'!$F$18:$J$21,5,0),"III järk",0))))</f>
      </c>
      <c r="AK31" s="30">
        <f t="shared" si="0"/>
      </c>
      <c r="AL31" s="30">
        <f t="shared" si="1"/>
      </c>
      <c r="AM31" s="30">
        <f t="shared" si="2"/>
      </c>
      <c r="AN31" s="30">
        <f t="shared" si="3"/>
      </c>
      <c r="AO31" s="30">
        <f t="shared" si="4"/>
      </c>
      <c r="AP31" s="47">
        <f t="shared" si="5"/>
      </c>
      <c r="AR31" s="37"/>
    </row>
    <row r="32" spans="1:44" ht="25.5">
      <c r="A32" s="30">
        <v>28</v>
      </c>
      <c r="B32" s="40"/>
      <c r="C32" s="41"/>
      <c r="D32" s="41"/>
      <c r="E32" s="41"/>
      <c r="F32" s="40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>
        <f>IF(ISNA(IF($B32="SK ALG",VLOOKUP(S$4,'Võistluste järjestused'!$B$11:$D$18,3,0),IF($B32="SK 1",VLOOKUP(S$4,'Võistluste järjestused'!$B$23:$D$33,3,0),IF($B32="SK 2",VLOOKUP(S$4,'Võistluste järjestused'!$B$38:$D$47,3,0),IF($B32="SK 3",VLOOKUP(S$4,'Võistluste järjestused'!$B$52:$D$61,3,0),""))))),"",IF($B32="SK ALG",VLOOKUP(S$4,'Võistluste järjestused'!$B$11:$D$18,3,0),IF($B32="SK 1",VLOOKUP(S$4,'Võistluste järjestused'!$B$23:$D$33,3,0),IF($B32="SK 2",VLOOKUP(S$4,'Võistluste järjestused'!$B$38:$D$47,3,0),IF($B32="SK 3",VLOOKUP(S$4,'Võistluste järjestused'!$B$52:$D$61,3,0),"")))))</f>
      </c>
      <c r="T32" s="44">
        <f>IF(ISNA(IF($B32="SK ALG",VLOOKUP(T$4,'Võistluste järjestused'!$B$11:$D$18,3,0),IF($B32="SK 1",VLOOKUP(T$4,'Võistluste järjestused'!$B$23:$D$33,3,0),IF($B32="SK 2",VLOOKUP(T$4,'Võistluste järjestused'!$B$38:$D$47,3,0),IF($B32="SK 3",VLOOKUP(T$4,'Võistluste järjestused'!$B$52:$D$61,3,0),""))))),"",IF($B32="SK ALG",VLOOKUP(T$4,'Võistluste järjestused'!$B$11:$D$18,3,0),IF($B32="SK 1",VLOOKUP(T$4,'Võistluste järjestused'!$B$23:$D$33,3,0),IF($B32="SK 2",VLOOKUP(T$4,'Võistluste järjestused'!$B$38:$D$47,3,0),IF($B32="SK 3",VLOOKUP(T$4,'Võistluste järjestused'!$B$52:$D$61,3,0),"")))))</f>
      </c>
      <c r="U32" s="44">
        <f>IF(ISNA(IF($B32="SK ALG",VLOOKUP(U$4,'Võistluste järjestused'!$B$11:$D$18,3,0),IF($B32="SK 1",VLOOKUP(U$4,'Võistluste järjestused'!$B$23:$D$33,3,0),IF($B32="SK 2",VLOOKUP(U$4,'Võistluste järjestused'!$B$38:$D$47,3,0),IF($B32="SK 3",VLOOKUP(U$4,'Võistluste järjestused'!$B$52:$D$61,3,0),""))))),"",IF($B32="SK ALG",VLOOKUP(U$4,'Võistluste järjestused'!$B$11:$D$18,3,0),IF($B32="SK 1",VLOOKUP(U$4,'Võistluste järjestused'!$B$23:$D$33,3,0),IF($B32="SK 2",VLOOKUP(U$4,'Võistluste järjestused'!$B$38:$D$47,3,0),IF($B32="SK 3",VLOOKUP(U$4,'Võistluste järjestused'!$B$52:$D$61,3,0),"")))))</f>
      </c>
      <c r="V32" s="44">
        <f>IF(ISNA(IF($B32="SK ALG",VLOOKUP(V$4,'Võistluste järjestused'!$B$11:$D$18,3,0),IF($B32="SK 1",VLOOKUP(V$4,'Võistluste järjestused'!$B$23:$D$33,3,0),IF($B32="SK 2",VLOOKUP(V$4,'Võistluste järjestused'!$B$38:$D$47,3,0),IF($B32="SK 3",VLOOKUP(V$4,'Võistluste järjestused'!$B$52:$D$61,3,0),""))))),"",IF($B32="SK ALG",VLOOKUP(V$4,'Võistluste järjestused'!$B$11:$D$18,3,0),IF($B32="SK 1",VLOOKUP(V$4,'Võistluste järjestused'!$B$23:$D$33,3,0),IF($B32="SK 2",VLOOKUP(V$4,'Võistluste järjestused'!$B$38:$D$47,3,0),IF($B32="SK 3",VLOOKUP(V$4,'Võistluste järjestused'!$B$52:$D$61,3,0),"")))))</f>
      </c>
      <c r="W32" s="44">
        <f>IF(ISNA(IF($B32="SK ALG",VLOOKUP(W$4,'Võistluste järjestused'!$B$11:$D$18,3,0),IF($B32="SK 1",VLOOKUP(W$4,'Võistluste järjestused'!$B$23:$D$33,3,0),IF($B32="SK 2",VLOOKUP(W$4,'Võistluste järjestused'!$B$38:$D$47,3,0),IF($B32="SK 3",VLOOKUP(W$4,'Võistluste järjestused'!$B$52:$D$61,3,0),""))))),"",IF($B32="SK ALG",VLOOKUP(W$4,'Võistluste järjestused'!$B$11:$D$18,3,0),IF($B32="SK 1",VLOOKUP(W$4,'Võistluste järjestused'!$B$23:$D$33,3,0),IF($B32="SK 2",VLOOKUP(W$4,'Võistluste järjestused'!$B$38:$D$47,3,0),IF($B32="SK 3",VLOOKUP(W$4,'Võistluste järjestused'!$B$52:$D$61,3,0),"")))))</f>
      </c>
      <c r="X32" s="44">
        <f>IF(ISNA(IF($B32="SK ALG",VLOOKUP(X$4,'Võistluste järjestused'!$B$11:$D$18,3,0),IF($B32="SK 1",VLOOKUP(X$4,'Võistluste järjestused'!$B$23:$D$33,3,0),IF($B32="SK 2",VLOOKUP(X$4,'Võistluste järjestused'!$B$38:$D$47,3,0),IF($B32="SK 3",VLOOKUP(X$4,'Võistluste järjestused'!$B$52:$D$61,3,0),""))))),"",IF($B32="SK ALG",VLOOKUP(X$4,'Võistluste järjestused'!$B$11:$D$18,3,0),IF($B32="SK 1",VLOOKUP(X$4,'Võistluste järjestused'!$B$23:$D$33,3,0),IF($B32="SK 2",VLOOKUP(X$4,'Võistluste järjestused'!$B$38:$D$47,3,0),IF($B32="SK 3",VLOOKUP(X$4,'Võistluste järjestused'!$B$52:$D$61,3,0),"")))))</f>
      </c>
      <c r="Y32" s="44">
        <f>IF(ISNA(IF($B32="SK ALG",VLOOKUP(Y$4,'Võistluste järjestused'!$B$11:$D$18,3,0),IF($B32="SK 1",VLOOKUP(Y$4,'Võistluste järjestused'!$B$23:$D$33,3,0),IF($B32="SK 2",VLOOKUP(Y$4,'Võistluste järjestused'!$B$38:$D$47,3,0),IF($B32="SK 3",VLOOKUP(Y$4,'Võistluste järjestused'!$B$52:$D$61,3,0),""))))),"",IF($B32="SK ALG",VLOOKUP(Y$4,'Võistluste järjestused'!$B$11:$D$18,3,0),IF($B32="SK 1",VLOOKUP(Y$4,'Võistluste järjestused'!$B$23:$D$33,3,0),IF($B32="SK 2",VLOOKUP(Y$4,'Võistluste järjestused'!$B$38:$D$47,3,0),IF($B32="SK 3",VLOOKUP(Y$4,'Võistluste järjestused'!$B$52:$D$61,3,0),"")))))</f>
      </c>
      <c r="Z32" s="44">
        <f>IF(ISNA(IF($B32="SK ALG",VLOOKUP(Z$4,'Võistluste järjestused'!$B$11:$D$18,3,0),IF($B32="SK 1",VLOOKUP(Z$4,'Võistluste järjestused'!$B$23:$D$33,3,0),IF($B32="SK 2",VLOOKUP(Z$4,'Võistluste järjestused'!$B$38:$D$47,3,0),IF($B32="SK 3",VLOOKUP(Z$4,'Võistluste järjestused'!$B$52:$D$61,3,0),""))))),"",IF($B32="SK ALG",VLOOKUP(Z$4,'Võistluste järjestused'!$B$11:$D$18,3,0),IF($B32="SK 1",VLOOKUP(Z$4,'Võistluste järjestused'!$B$23:$D$33,3,0),IF($B32="SK 2",VLOOKUP(Z$4,'Võistluste järjestused'!$B$38:$D$47,3,0),IF($B32="SK 3",VLOOKUP(Z$4,'Võistluste järjestused'!$B$52:$D$61,3,0),"")))))</f>
      </c>
      <c r="AA32" s="44">
        <f>IF(ISNA(IF($B32="SK ALG",VLOOKUP(AA$4,'Võistluste järjestused'!$B$11:$D$18,3,0),IF($B32="SK 1",VLOOKUP(AA$4,'Võistluste järjestused'!$B$23:$D$33,3,0),IF($B32="SK 2",VLOOKUP(AA$4,'Võistluste järjestused'!$B$38:$D$47,3,0),IF($B32="SK 3",VLOOKUP(AA$4,'Võistluste järjestused'!$B$52:$D$61,3,0),""))))),"",IF($B32="SK ALG",VLOOKUP(AA$4,'Võistluste järjestused'!$B$11:$D$18,3,0),IF($B32="SK 1",VLOOKUP(AA$4,'Võistluste järjestused'!$B$23:$D$33,3,0),IF($B32="SK 2",VLOOKUP(AA$4,'Võistluste järjestused'!$B$38:$D$47,3,0),IF($B32="SK 3",VLOOKUP(AA$4,'Võistluste järjestused'!$B$52:$D$61,3,0),"")))))</f>
      </c>
      <c r="AB32" s="44">
        <f>IF(ISNA(IF($B32="SK ALG",VLOOKUP(AB$4,'Võistluste järjestused'!$B$11:$D$18,3,0),IF($B32="SK 1",VLOOKUP(AB$4,'Võistluste järjestused'!$B$23:$D$33,3,0),IF($B32="SK 2",VLOOKUP(AB$4,'Võistluste järjestused'!$B$38:$D$47,3,0),IF($B32="SK 3",VLOOKUP(AB$4,'Võistluste järjestused'!$B$52:$D$61,3,0),""))))),"",IF($B32="SK ALG",VLOOKUP(AB$4,'Võistluste järjestused'!$B$11:$D$18,3,0),IF($B32="SK 1",VLOOKUP(AB$4,'Võistluste järjestused'!$B$23:$D$33,3,0),IF($B32="SK 2",VLOOKUP(AB$4,'Võistluste järjestused'!$B$38:$D$47,3,0),IF($B32="SK 3",VLOOKUP(AB$4,'Võistluste järjestused'!$B$52:$D$61,3,0),"")))))</f>
      </c>
      <c r="AC32" s="44">
        <f>IF(ISNA(IF($B32="SK ALG",VLOOKUP(AC$4,'Võistluste järjestused'!$B$11:$D$18,3,0),IF($B32="SK 1",VLOOKUP(AC$4,'Võistluste järjestused'!$B$23:$D$33,3,0),IF($B32="SK 2",VLOOKUP(AC$4,'Võistluste järjestused'!$B$38:$D$47,3,0),IF($B32="SK 3",VLOOKUP(AC$4,'Võistluste järjestused'!$B$52:$D$61,3,0),""))))),"",IF($B32="SK ALG",VLOOKUP(AC$4,'Võistluste järjestused'!$B$11:$D$18,3,0),IF($B32="SK 1",VLOOKUP(AC$4,'Võistluste järjestused'!$B$23:$D$33,3,0),IF($B32="SK 2",VLOOKUP(AC$4,'Võistluste järjestused'!$B$38:$D$47,3,0),IF($B32="SK 3",VLOOKUP(AC$4,'Võistluste järjestused'!$B$52:$D$61,3,0),"")))))</f>
      </c>
      <c r="AD32" s="45"/>
      <c r="AE32" s="45"/>
      <c r="AF32" s="45"/>
      <c r="AG32" s="45"/>
      <c r="AH32" s="30">
        <f t="shared" si="6"/>
      </c>
      <c r="AI32" s="46">
        <f>IF(B32="","",IF(AH32="DSQ",0,H32*S32+I32*T32+J32*U32+K32*V32+L32*W32+M32*X32+N32*Y32+O32*Z32+P32*AA32+Q32*AB32+R32*AC32+AE32*'Võistluste järjestused'!D90))</f>
      </c>
      <c r="AJ32" s="30">
        <f>IF(B32="","",IF(AI32&gt;=VLOOKUP(B32,'Võistluste järjestused'!$F$18:$J$21,3,0),"I järk",IF(AI32&gt;=VLOOKUP(B32,'Võistluste järjestused'!$F$18:$J$21,4,0),"II järk",IF(AI32&gt;=VLOOKUP(B32,'Võistluste järjestused'!$F$18:$J$21,5,0),"III järk",0))))</f>
      </c>
      <c r="AK32" s="30">
        <f t="shared" si="0"/>
      </c>
      <c r="AL32" s="30">
        <f t="shared" si="1"/>
      </c>
      <c r="AM32" s="30">
        <f t="shared" si="2"/>
      </c>
      <c r="AN32" s="30">
        <f t="shared" si="3"/>
      </c>
      <c r="AO32" s="30">
        <f t="shared" si="4"/>
      </c>
      <c r="AP32" s="47">
        <f t="shared" si="5"/>
      </c>
      <c r="AR32" s="37"/>
    </row>
    <row r="33" spans="1:44" ht="25.5">
      <c r="A33" s="30">
        <v>29</v>
      </c>
      <c r="B33" s="40"/>
      <c r="C33" s="41"/>
      <c r="D33" s="41"/>
      <c r="E33" s="41"/>
      <c r="F33" s="40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>
        <f>IF(ISNA(IF($B33="SK ALG",VLOOKUP(S$4,'Võistluste järjestused'!$B$11:$D$18,3,0),IF($B33="SK 1",VLOOKUP(S$4,'Võistluste järjestused'!$B$23:$D$33,3,0),IF($B33="SK 2",VLOOKUP(S$4,'Võistluste järjestused'!$B$38:$D$47,3,0),IF($B33="SK 3",VLOOKUP(S$4,'Võistluste järjestused'!$B$52:$D$61,3,0),""))))),"",IF($B33="SK ALG",VLOOKUP(S$4,'Võistluste järjestused'!$B$11:$D$18,3,0),IF($B33="SK 1",VLOOKUP(S$4,'Võistluste järjestused'!$B$23:$D$33,3,0),IF($B33="SK 2",VLOOKUP(S$4,'Võistluste järjestused'!$B$38:$D$47,3,0),IF($B33="SK 3",VLOOKUP(S$4,'Võistluste järjestused'!$B$52:$D$61,3,0),"")))))</f>
      </c>
      <c r="T33" s="44">
        <f>IF(ISNA(IF($B33="SK ALG",VLOOKUP(T$4,'Võistluste järjestused'!$B$11:$D$18,3,0),IF($B33="SK 1",VLOOKUP(T$4,'Võistluste järjestused'!$B$23:$D$33,3,0),IF($B33="SK 2",VLOOKUP(T$4,'Võistluste järjestused'!$B$38:$D$47,3,0),IF($B33="SK 3",VLOOKUP(T$4,'Võistluste järjestused'!$B$52:$D$61,3,0),""))))),"",IF($B33="SK ALG",VLOOKUP(T$4,'Võistluste järjestused'!$B$11:$D$18,3,0),IF($B33="SK 1",VLOOKUP(T$4,'Võistluste järjestused'!$B$23:$D$33,3,0),IF($B33="SK 2",VLOOKUP(T$4,'Võistluste järjestused'!$B$38:$D$47,3,0),IF($B33="SK 3",VLOOKUP(T$4,'Võistluste järjestused'!$B$52:$D$61,3,0),"")))))</f>
      </c>
      <c r="U33" s="44">
        <f>IF(ISNA(IF($B33="SK ALG",VLOOKUP(U$4,'Võistluste järjestused'!$B$11:$D$18,3,0),IF($B33="SK 1",VLOOKUP(U$4,'Võistluste järjestused'!$B$23:$D$33,3,0),IF($B33="SK 2",VLOOKUP(U$4,'Võistluste järjestused'!$B$38:$D$47,3,0),IF($B33="SK 3",VLOOKUP(U$4,'Võistluste järjestused'!$B$52:$D$61,3,0),""))))),"",IF($B33="SK ALG",VLOOKUP(U$4,'Võistluste järjestused'!$B$11:$D$18,3,0),IF($B33="SK 1",VLOOKUP(U$4,'Võistluste järjestused'!$B$23:$D$33,3,0),IF($B33="SK 2",VLOOKUP(U$4,'Võistluste järjestused'!$B$38:$D$47,3,0),IF($B33="SK 3",VLOOKUP(U$4,'Võistluste järjestused'!$B$52:$D$61,3,0),"")))))</f>
      </c>
      <c r="V33" s="44">
        <f>IF(ISNA(IF($B33="SK ALG",VLOOKUP(V$4,'Võistluste järjestused'!$B$11:$D$18,3,0),IF($B33="SK 1",VLOOKUP(V$4,'Võistluste järjestused'!$B$23:$D$33,3,0),IF($B33="SK 2",VLOOKUP(V$4,'Võistluste järjestused'!$B$38:$D$47,3,0),IF($B33="SK 3",VLOOKUP(V$4,'Võistluste järjestused'!$B$52:$D$61,3,0),""))))),"",IF($B33="SK ALG",VLOOKUP(V$4,'Võistluste järjestused'!$B$11:$D$18,3,0),IF($B33="SK 1",VLOOKUP(V$4,'Võistluste järjestused'!$B$23:$D$33,3,0),IF($B33="SK 2",VLOOKUP(V$4,'Võistluste järjestused'!$B$38:$D$47,3,0),IF($B33="SK 3",VLOOKUP(V$4,'Võistluste järjestused'!$B$52:$D$61,3,0),"")))))</f>
      </c>
      <c r="W33" s="44">
        <f>IF(ISNA(IF($B33="SK ALG",VLOOKUP(W$4,'Võistluste järjestused'!$B$11:$D$18,3,0),IF($B33="SK 1",VLOOKUP(W$4,'Võistluste järjestused'!$B$23:$D$33,3,0),IF($B33="SK 2",VLOOKUP(W$4,'Võistluste järjestused'!$B$38:$D$47,3,0),IF($B33="SK 3",VLOOKUP(W$4,'Võistluste järjestused'!$B$52:$D$61,3,0),""))))),"",IF($B33="SK ALG",VLOOKUP(W$4,'Võistluste järjestused'!$B$11:$D$18,3,0),IF($B33="SK 1",VLOOKUP(W$4,'Võistluste järjestused'!$B$23:$D$33,3,0),IF($B33="SK 2",VLOOKUP(W$4,'Võistluste järjestused'!$B$38:$D$47,3,0),IF($B33="SK 3",VLOOKUP(W$4,'Võistluste järjestused'!$B$52:$D$61,3,0),"")))))</f>
      </c>
      <c r="X33" s="44">
        <f>IF(ISNA(IF($B33="SK ALG",VLOOKUP(X$4,'Võistluste järjestused'!$B$11:$D$18,3,0),IF($B33="SK 1",VLOOKUP(X$4,'Võistluste järjestused'!$B$23:$D$33,3,0),IF($B33="SK 2",VLOOKUP(X$4,'Võistluste järjestused'!$B$38:$D$47,3,0),IF($B33="SK 3",VLOOKUP(X$4,'Võistluste järjestused'!$B$52:$D$61,3,0),""))))),"",IF($B33="SK ALG",VLOOKUP(X$4,'Võistluste järjestused'!$B$11:$D$18,3,0),IF($B33="SK 1",VLOOKUP(X$4,'Võistluste järjestused'!$B$23:$D$33,3,0),IF($B33="SK 2",VLOOKUP(X$4,'Võistluste järjestused'!$B$38:$D$47,3,0),IF($B33="SK 3",VLOOKUP(X$4,'Võistluste järjestused'!$B$52:$D$61,3,0),"")))))</f>
      </c>
      <c r="Y33" s="44">
        <f>IF(ISNA(IF($B33="SK ALG",VLOOKUP(Y$4,'Võistluste järjestused'!$B$11:$D$18,3,0),IF($B33="SK 1",VLOOKUP(Y$4,'Võistluste järjestused'!$B$23:$D$33,3,0),IF($B33="SK 2",VLOOKUP(Y$4,'Võistluste järjestused'!$B$38:$D$47,3,0),IF($B33="SK 3",VLOOKUP(Y$4,'Võistluste järjestused'!$B$52:$D$61,3,0),""))))),"",IF($B33="SK ALG",VLOOKUP(Y$4,'Võistluste järjestused'!$B$11:$D$18,3,0),IF($B33="SK 1",VLOOKUP(Y$4,'Võistluste järjestused'!$B$23:$D$33,3,0),IF($B33="SK 2",VLOOKUP(Y$4,'Võistluste järjestused'!$B$38:$D$47,3,0),IF($B33="SK 3",VLOOKUP(Y$4,'Võistluste järjestused'!$B$52:$D$61,3,0),"")))))</f>
      </c>
      <c r="Z33" s="44">
        <f>IF(ISNA(IF($B33="SK ALG",VLOOKUP(Z$4,'Võistluste järjestused'!$B$11:$D$18,3,0),IF($B33="SK 1",VLOOKUP(Z$4,'Võistluste järjestused'!$B$23:$D$33,3,0),IF($B33="SK 2",VLOOKUP(Z$4,'Võistluste järjestused'!$B$38:$D$47,3,0),IF($B33="SK 3",VLOOKUP(Z$4,'Võistluste järjestused'!$B$52:$D$61,3,0),""))))),"",IF($B33="SK ALG",VLOOKUP(Z$4,'Võistluste järjestused'!$B$11:$D$18,3,0),IF($B33="SK 1",VLOOKUP(Z$4,'Võistluste järjestused'!$B$23:$D$33,3,0),IF($B33="SK 2",VLOOKUP(Z$4,'Võistluste järjestused'!$B$38:$D$47,3,0),IF($B33="SK 3",VLOOKUP(Z$4,'Võistluste järjestused'!$B$52:$D$61,3,0),"")))))</f>
      </c>
      <c r="AA33" s="44">
        <f>IF(ISNA(IF($B33="SK ALG",VLOOKUP(AA$4,'Võistluste järjestused'!$B$11:$D$18,3,0),IF($B33="SK 1",VLOOKUP(AA$4,'Võistluste järjestused'!$B$23:$D$33,3,0),IF($B33="SK 2",VLOOKUP(AA$4,'Võistluste järjestused'!$B$38:$D$47,3,0),IF($B33="SK 3",VLOOKUP(AA$4,'Võistluste järjestused'!$B$52:$D$61,3,0),""))))),"",IF($B33="SK ALG",VLOOKUP(AA$4,'Võistluste järjestused'!$B$11:$D$18,3,0),IF($B33="SK 1",VLOOKUP(AA$4,'Võistluste järjestused'!$B$23:$D$33,3,0),IF($B33="SK 2",VLOOKUP(AA$4,'Võistluste järjestused'!$B$38:$D$47,3,0),IF($B33="SK 3",VLOOKUP(AA$4,'Võistluste järjestused'!$B$52:$D$61,3,0),"")))))</f>
      </c>
      <c r="AB33" s="44">
        <f>IF(ISNA(IF($B33="SK ALG",VLOOKUP(AB$4,'Võistluste järjestused'!$B$11:$D$18,3,0),IF($B33="SK 1",VLOOKUP(AB$4,'Võistluste järjestused'!$B$23:$D$33,3,0),IF($B33="SK 2",VLOOKUP(AB$4,'Võistluste järjestused'!$B$38:$D$47,3,0),IF($B33="SK 3",VLOOKUP(AB$4,'Võistluste järjestused'!$B$52:$D$61,3,0),""))))),"",IF($B33="SK ALG",VLOOKUP(AB$4,'Võistluste järjestused'!$B$11:$D$18,3,0),IF($B33="SK 1",VLOOKUP(AB$4,'Võistluste järjestused'!$B$23:$D$33,3,0),IF($B33="SK 2",VLOOKUP(AB$4,'Võistluste järjestused'!$B$38:$D$47,3,0),IF($B33="SK 3",VLOOKUP(AB$4,'Võistluste järjestused'!$B$52:$D$61,3,0),"")))))</f>
      </c>
      <c r="AC33" s="44">
        <f>IF(ISNA(IF($B33="SK ALG",VLOOKUP(AC$4,'Võistluste järjestused'!$B$11:$D$18,3,0),IF($B33="SK 1",VLOOKUP(AC$4,'Võistluste järjestused'!$B$23:$D$33,3,0),IF($B33="SK 2",VLOOKUP(AC$4,'Võistluste järjestused'!$B$38:$D$47,3,0),IF($B33="SK 3",VLOOKUP(AC$4,'Võistluste järjestused'!$B$52:$D$61,3,0),""))))),"",IF($B33="SK ALG",VLOOKUP(AC$4,'Võistluste järjestused'!$B$11:$D$18,3,0),IF($B33="SK 1",VLOOKUP(AC$4,'Võistluste järjestused'!$B$23:$D$33,3,0),IF($B33="SK 2",VLOOKUP(AC$4,'Võistluste järjestused'!$B$38:$D$47,3,0),IF($B33="SK 3",VLOOKUP(AC$4,'Võistluste järjestused'!$B$52:$D$61,3,0),"")))))</f>
      </c>
      <c r="AD33" s="45"/>
      <c r="AE33" s="45"/>
      <c r="AF33" s="45"/>
      <c r="AG33" s="45"/>
      <c r="AH33" s="30">
        <f t="shared" si="6"/>
      </c>
      <c r="AI33" s="46">
        <f>IF(B33="","",IF(AH33="DSQ",0,H33*S33+I33*T33+J33*U33+K33*V33+L33*W33+M33*X33+N33*Y33+O33*Z33+P33*AA33+Q33*AB33+R33*AC33+AE33*'Võistluste järjestused'!D91))</f>
      </c>
      <c r="AJ33" s="30">
        <f>IF(B33="","",IF(AI33&gt;=VLOOKUP(B33,'Võistluste järjestused'!$F$18:$J$21,3,0),"I järk",IF(AI33&gt;=VLOOKUP(B33,'Võistluste järjestused'!$F$18:$J$21,4,0),"II järk",IF(AI33&gt;=VLOOKUP(B33,'Võistluste järjestused'!$F$18:$J$21,5,0),"III järk",0))))</f>
      </c>
      <c r="AK33" s="30">
        <f t="shared" si="0"/>
      </c>
      <c r="AL33" s="30">
        <f t="shared" si="1"/>
      </c>
      <c r="AM33" s="30">
        <f t="shared" si="2"/>
      </c>
      <c r="AN33" s="30">
        <f t="shared" si="3"/>
      </c>
      <c r="AO33" s="30">
        <f t="shared" si="4"/>
      </c>
      <c r="AP33" s="47">
        <f t="shared" si="5"/>
      </c>
      <c r="AR33" s="37"/>
    </row>
    <row r="34" spans="1:44" ht="25.5">
      <c r="A34" s="30">
        <v>30</v>
      </c>
      <c r="B34" s="40"/>
      <c r="C34" s="41"/>
      <c r="D34" s="41"/>
      <c r="E34" s="41"/>
      <c r="F34" s="40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>
        <f>IF(ISNA(IF($B34="SK ALG",VLOOKUP(S$4,'Võistluste järjestused'!$B$11:$D$18,3,0),IF($B34="SK 1",VLOOKUP(S$4,'Võistluste järjestused'!$B$23:$D$33,3,0),IF($B34="SK 2",VLOOKUP(S$4,'Võistluste järjestused'!$B$38:$D$47,3,0),IF($B34="SK 3",VLOOKUP(S$4,'Võistluste järjestused'!$B$52:$D$61,3,0),""))))),"",IF($B34="SK ALG",VLOOKUP(S$4,'Võistluste järjestused'!$B$11:$D$18,3,0),IF($B34="SK 1",VLOOKUP(S$4,'Võistluste järjestused'!$B$23:$D$33,3,0),IF($B34="SK 2",VLOOKUP(S$4,'Võistluste järjestused'!$B$38:$D$47,3,0),IF($B34="SK 3",VLOOKUP(S$4,'Võistluste järjestused'!$B$52:$D$61,3,0),"")))))</f>
      </c>
      <c r="T34" s="44">
        <f>IF(ISNA(IF($B34="SK ALG",VLOOKUP(T$4,'Võistluste järjestused'!$B$11:$D$18,3,0),IF($B34="SK 1",VLOOKUP(T$4,'Võistluste järjestused'!$B$23:$D$33,3,0),IF($B34="SK 2",VLOOKUP(T$4,'Võistluste järjestused'!$B$38:$D$47,3,0),IF($B34="SK 3",VLOOKUP(T$4,'Võistluste järjestused'!$B$52:$D$61,3,0),""))))),"",IF($B34="SK ALG",VLOOKUP(T$4,'Võistluste järjestused'!$B$11:$D$18,3,0),IF($B34="SK 1",VLOOKUP(T$4,'Võistluste järjestused'!$B$23:$D$33,3,0),IF($B34="SK 2",VLOOKUP(T$4,'Võistluste järjestused'!$B$38:$D$47,3,0),IF($B34="SK 3",VLOOKUP(T$4,'Võistluste järjestused'!$B$52:$D$61,3,0),"")))))</f>
      </c>
      <c r="U34" s="44">
        <f>IF(ISNA(IF($B34="SK ALG",VLOOKUP(U$4,'Võistluste järjestused'!$B$11:$D$18,3,0),IF($B34="SK 1",VLOOKUP(U$4,'Võistluste järjestused'!$B$23:$D$33,3,0),IF($B34="SK 2",VLOOKUP(U$4,'Võistluste järjestused'!$B$38:$D$47,3,0),IF($B34="SK 3",VLOOKUP(U$4,'Võistluste järjestused'!$B$52:$D$61,3,0),""))))),"",IF($B34="SK ALG",VLOOKUP(U$4,'Võistluste järjestused'!$B$11:$D$18,3,0),IF($B34="SK 1",VLOOKUP(U$4,'Võistluste järjestused'!$B$23:$D$33,3,0),IF($B34="SK 2",VLOOKUP(U$4,'Võistluste järjestused'!$B$38:$D$47,3,0),IF($B34="SK 3",VLOOKUP(U$4,'Võistluste järjestused'!$B$52:$D$61,3,0),"")))))</f>
      </c>
      <c r="V34" s="44">
        <f>IF(ISNA(IF($B34="SK ALG",VLOOKUP(V$4,'Võistluste järjestused'!$B$11:$D$18,3,0),IF($B34="SK 1",VLOOKUP(V$4,'Võistluste järjestused'!$B$23:$D$33,3,0),IF($B34="SK 2",VLOOKUP(V$4,'Võistluste järjestused'!$B$38:$D$47,3,0),IF($B34="SK 3",VLOOKUP(V$4,'Võistluste järjestused'!$B$52:$D$61,3,0),""))))),"",IF($B34="SK ALG",VLOOKUP(V$4,'Võistluste järjestused'!$B$11:$D$18,3,0),IF($B34="SK 1",VLOOKUP(V$4,'Võistluste järjestused'!$B$23:$D$33,3,0),IF($B34="SK 2",VLOOKUP(V$4,'Võistluste järjestused'!$B$38:$D$47,3,0),IF($B34="SK 3",VLOOKUP(V$4,'Võistluste järjestused'!$B$52:$D$61,3,0),"")))))</f>
      </c>
      <c r="W34" s="44">
        <f>IF(ISNA(IF($B34="SK ALG",VLOOKUP(W$4,'Võistluste järjestused'!$B$11:$D$18,3,0),IF($B34="SK 1",VLOOKUP(W$4,'Võistluste järjestused'!$B$23:$D$33,3,0),IF($B34="SK 2",VLOOKUP(W$4,'Võistluste järjestused'!$B$38:$D$47,3,0),IF($B34="SK 3",VLOOKUP(W$4,'Võistluste järjestused'!$B$52:$D$61,3,0),""))))),"",IF($B34="SK ALG",VLOOKUP(W$4,'Võistluste järjestused'!$B$11:$D$18,3,0),IF($B34="SK 1",VLOOKUP(W$4,'Võistluste järjestused'!$B$23:$D$33,3,0),IF($B34="SK 2",VLOOKUP(W$4,'Võistluste järjestused'!$B$38:$D$47,3,0),IF($B34="SK 3",VLOOKUP(W$4,'Võistluste järjestused'!$B$52:$D$61,3,0),"")))))</f>
      </c>
      <c r="X34" s="44">
        <f>IF(ISNA(IF($B34="SK ALG",VLOOKUP(X$4,'Võistluste järjestused'!$B$11:$D$18,3,0),IF($B34="SK 1",VLOOKUP(X$4,'Võistluste järjestused'!$B$23:$D$33,3,0),IF($B34="SK 2",VLOOKUP(X$4,'Võistluste järjestused'!$B$38:$D$47,3,0),IF($B34="SK 3",VLOOKUP(X$4,'Võistluste järjestused'!$B$52:$D$61,3,0),""))))),"",IF($B34="SK ALG",VLOOKUP(X$4,'Võistluste järjestused'!$B$11:$D$18,3,0),IF($B34="SK 1",VLOOKUP(X$4,'Võistluste järjestused'!$B$23:$D$33,3,0),IF($B34="SK 2",VLOOKUP(X$4,'Võistluste järjestused'!$B$38:$D$47,3,0),IF($B34="SK 3",VLOOKUP(X$4,'Võistluste järjestused'!$B$52:$D$61,3,0),"")))))</f>
      </c>
      <c r="Y34" s="44">
        <f>IF(ISNA(IF($B34="SK ALG",VLOOKUP(Y$4,'Võistluste järjestused'!$B$11:$D$18,3,0),IF($B34="SK 1",VLOOKUP(Y$4,'Võistluste järjestused'!$B$23:$D$33,3,0),IF($B34="SK 2",VLOOKUP(Y$4,'Võistluste järjestused'!$B$38:$D$47,3,0),IF($B34="SK 3",VLOOKUP(Y$4,'Võistluste järjestused'!$B$52:$D$61,3,0),""))))),"",IF($B34="SK ALG",VLOOKUP(Y$4,'Võistluste järjestused'!$B$11:$D$18,3,0),IF($B34="SK 1",VLOOKUP(Y$4,'Võistluste järjestused'!$B$23:$D$33,3,0),IF($B34="SK 2",VLOOKUP(Y$4,'Võistluste järjestused'!$B$38:$D$47,3,0),IF($B34="SK 3",VLOOKUP(Y$4,'Võistluste järjestused'!$B$52:$D$61,3,0),"")))))</f>
      </c>
      <c r="Z34" s="44">
        <f>IF(ISNA(IF($B34="SK ALG",VLOOKUP(Z$4,'Võistluste järjestused'!$B$11:$D$18,3,0),IF($B34="SK 1",VLOOKUP(Z$4,'Võistluste järjestused'!$B$23:$D$33,3,0),IF($B34="SK 2",VLOOKUP(Z$4,'Võistluste järjestused'!$B$38:$D$47,3,0),IF($B34="SK 3",VLOOKUP(Z$4,'Võistluste järjestused'!$B$52:$D$61,3,0),""))))),"",IF($B34="SK ALG",VLOOKUP(Z$4,'Võistluste järjestused'!$B$11:$D$18,3,0),IF($B34="SK 1",VLOOKUP(Z$4,'Võistluste järjestused'!$B$23:$D$33,3,0),IF($B34="SK 2",VLOOKUP(Z$4,'Võistluste järjestused'!$B$38:$D$47,3,0),IF($B34="SK 3",VLOOKUP(Z$4,'Võistluste järjestused'!$B$52:$D$61,3,0),"")))))</f>
      </c>
      <c r="AA34" s="44">
        <f>IF(ISNA(IF($B34="SK ALG",VLOOKUP(AA$4,'Võistluste järjestused'!$B$11:$D$18,3,0),IF($B34="SK 1",VLOOKUP(AA$4,'Võistluste järjestused'!$B$23:$D$33,3,0),IF($B34="SK 2",VLOOKUP(AA$4,'Võistluste järjestused'!$B$38:$D$47,3,0),IF($B34="SK 3",VLOOKUP(AA$4,'Võistluste järjestused'!$B$52:$D$61,3,0),""))))),"",IF($B34="SK ALG",VLOOKUP(AA$4,'Võistluste järjestused'!$B$11:$D$18,3,0),IF($B34="SK 1",VLOOKUP(AA$4,'Võistluste järjestused'!$B$23:$D$33,3,0),IF($B34="SK 2",VLOOKUP(AA$4,'Võistluste järjestused'!$B$38:$D$47,3,0),IF($B34="SK 3",VLOOKUP(AA$4,'Võistluste järjestused'!$B$52:$D$61,3,0),"")))))</f>
      </c>
      <c r="AB34" s="44">
        <f>IF(ISNA(IF($B34="SK ALG",VLOOKUP(AB$4,'Võistluste järjestused'!$B$11:$D$18,3,0),IF($B34="SK 1",VLOOKUP(AB$4,'Võistluste järjestused'!$B$23:$D$33,3,0),IF($B34="SK 2",VLOOKUP(AB$4,'Võistluste järjestused'!$B$38:$D$47,3,0),IF($B34="SK 3",VLOOKUP(AB$4,'Võistluste järjestused'!$B$52:$D$61,3,0),""))))),"",IF($B34="SK ALG",VLOOKUP(AB$4,'Võistluste järjestused'!$B$11:$D$18,3,0),IF($B34="SK 1",VLOOKUP(AB$4,'Võistluste järjestused'!$B$23:$D$33,3,0),IF($B34="SK 2",VLOOKUP(AB$4,'Võistluste järjestused'!$B$38:$D$47,3,0),IF($B34="SK 3",VLOOKUP(AB$4,'Võistluste järjestused'!$B$52:$D$61,3,0),"")))))</f>
      </c>
      <c r="AC34" s="44">
        <f>IF(ISNA(IF($B34="SK ALG",VLOOKUP(AC$4,'Võistluste järjestused'!$B$11:$D$18,3,0),IF($B34="SK 1",VLOOKUP(AC$4,'Võistluste järjestused'!$B$23:$D$33,3,0),IF($B34="SK 2",VLOOKUP(AC$4,'Võistluste järjestused'!$B$38:$D$47,3,0),IF($B34="SK 3",VLOOKUP(AC$4,'Võistluste järjestused'!$B$52:$D$61,3,0),""))))),"",IF($B34="SK ALG",VLOOKUP(AC$4,'Võistluste järjestused'!$B$11:$D$18,3,0),IF($B34="SK 1",VLOOKUP(AC$4,'Võistluste järjestused'!$B$23:$D$33,3,0),IF($B34="SK 2",VLOOKUP(AC$4,'Võistluste järjestused'!$B$38:$D$47,3,0),IF($B34="SK 3",VLOOKUP(AC$4,'Võistluste järjestused'!$B$52:$D$61,3,0),"")))))</f>
      </c>
      <c r="AD34" s="45"/>
      <c r="AE34" s="45"/>
      <c r="AF34" s="45"/>
      <c r="AG34" s="40"/>
      <c r="AH34" s="30">
        <f t="shared" si="6"/>
      </c>
      <c r="AI34" s="46">
        <f>IF(B34="","",IF(AH34="DSQ",0,H34*S34+I34*T34+J34*U34+K34*V34+L34*W34+M34*X34+N34*Y34+O34*Z34+P34*AA34+Q34*AB34+R34*AC34+AE34*'Võistluste järjestused'!D92))</f>
      </c>
      <c r="AJ34" s="30">
        <f>IF(B34="","",IF(AI34&gt;=VLOOKUP(B34,'Võistluste järjestused'!$F$18:$J$21,3,0),"I järk",IF(AI34&gt;=VLOOKUP(B34,'Võistluste järjestused'!$F$18:$J$21,4,0),"II järk",IF(AI34&gt;=VLOOKUP(B34,'Võistluste järjestused'!$F$18:$J$21,5,0),"III järk",0))))</f>
      </c>
      <c r="AK34" s="30">
        <f t="shared" si="0"/>
      </c>
      <c r="AL34" s="30">
        <f t="shared" si="1"/>
      </c>
      <c r="AM34" s="30">
        <f t="shared" si="2"/>
      </c>
      <c r="AN34" s="30">
        <f t="shared" si="3"/>
      </c>
      <c r="AO34" s="30">
        <f t="shared" si="4"/>
      </c>
      <c r="AP34" s="47">
        <f t="shared" si="5"/>
      </c>
      <c r="AR34" s="37"/>
    </row>
    <row r="35" ht="20.25">
      <c r="AR35" s="37"/>
    </row>
    <row r="36" ht="20.25">
      <c r="AR36" s="37"/>
    </row>
    <row r="37" spans="1:44" ht="20.25">
      <c r="A37" t="s">
        <v>16</v>
      </c>
      <c r="C37" s="2">
        <f>AE1</f>
        <v>0</v>
      </c>
      <c r="Q37" s="85" t="s">
        <v>14</v>
      </c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t="str">
        <f>F1</f>
        <v>=</v>
      </c>
      <c r="AR37" s="37"/>
    </row>
  </sheetData>
  <sheetProtection selectLockedCells="1" selectUnlockedCells="1"/>
  <mergeCells count="28">
    <mergeCell ref="AL3:AL4"/>
    <mergeCell ref="AM3:AM4"/>
    <mergeCell ref="AN3:AN4"/>
    <mergeCell ref="AO3:AO4"/>
    <mergeCell ref="AP3:AP4"/>
    <mergeCell ref="Q37:AD37"/>
    <mergeCell ref="AF3:AF4"/>
    <mergeCell ref="AG3:AG4"/>
    <mergeCell ref="AH3:AH4"/>
    <mergeCell ref="AI3:AI4"/>
    <mergeCell ref="AJ3:AJ4"/>
    <mergeCell ref="AK3:AK4"/>
    <mergeCell ref="F3:F4"/>
    <mergeCell ref="G3:G4"/>
    <mergeCell ref="H3:R3"/>
    <mergeCell ref="S3:AC3"/>
    <mergeCell ref="AD3:AD4"/>
    <mergeCell ref="AE3:AE4"/>
    <mergeCell ref="C1:D1"/>
    <mergeCell ref="F1:G1"/>
    <mergeCell ref="I1:R1"/>
    <mergeCell ref="AE1:AH1"/>
    <mergeCell ref="AJ1:AK1"/>
    <mergeCell ref="A3:A4"/>
    <mergeCell ref="B3:B4"/>
    <mergeCell ref="C3:C4"/>
    <mergeCell ref="D3:D4"/>
    <mergeCell ref="E3:E4"/>
  </mergeCells>
  <dataValidations count="1">
    <dataValidation type="list" operator="equal" allowBlank="1" sqref="B5:B34">
      <formula1>"SK ALG,SK 1,SK 2,SK 3"</formula1>
    </dataValidation>
  </dataValidations>
  <printOptions/>
  <pageMargins left="0.3236111111111111" right="0.22708333333333333" top="0.46944444444444444" bottom="0.04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88" zoomScaleNormal="88" zoomScalePageLayoutView="0" workbookViewId="0" topLeftCell="A10">
      <selection activeCell="N1" sqref="N1"/>
    </sheetView>
  </sheetViews>
  <sheetFormatPr defaultColWidth="11.57421875" defaultRowHeight="12.75"/>
  <cols>
    <col min="1" max="1" width="5.57421875" style="0" customWidth="1"/>
    <col min="2" max="2" width="8.421875" style="0" customWidth="1"/>
    <col min="3" max="3" width="46.28125" style="0" customWidth="1"/>
    <col min="4" max="4" width="11.140625" style="0" customWidth="1"/>
    <col min="5" max="5" width="18.28125" style="0" customWidth="1"/>
  </cols>
  <sheetData>
    <row r="1" spans="1:14" ht="20.25">
      <c r="A1" s="37" t="s">
        <v>88</v>
      </c>
      <c r="N1" s="37"/>
    </row>
    <row r="2" spans="1:14" ht="20.25">
      <c r="A2" s="48" t="s">
        <v>89</v>
      </c>
      <c r="N2" s="37"/>
    </row>
    <row r="3" ht="20.25">
      <c r="N3" s="37"/>
    </row>
    <row r="4" spans="1:14" ht="20.25">
      <c r="A4" s="86" t="s">
        <v>13</v>
      </c>
      <c r="B4" s="86"/>
      <c r="C4" s="49">
        <f>IF('Võistluste järjestused'!C2="","",'Võistluste järjestused'!C2)</f>
      </c>
      <c r="G4" s="50"/>
      <c r="N4" s="37"/>
    </row>
    <row r="5" spans="1:14" ht="20.25">
      <c r="A5" s="86" t="s">
        <v>16</v>
      </c>
      <c r="B5" s="86"/>
      <c r="C5" s="51">
        <f>IF('Võistluste järjestused'!C5="","",'Võistluste järjestused'!C5)</f>
      </c>
      <c r="E5" s="52"/>
      <c r="F5" s="36"/>
      <c r="G5" s="50"/>
      <c r="N5" s="37"/>
    </row>
    <row r="6" spans="1:14" ht="20.25">
      <c r="A6" s="86" t="s">
        <v>15</v>
      </c>
      <c r="B6" s="86"/>
      <c r="C6" s="49">
        <f>IF('Võistluste järjestused'!C4="","",'Võistluste järjestused'!C4)</f>
      </c>
      <c r="G6" s="50"/>
      <c r="N6" s="37"/>
    </row>
    <row r="7" spans="1:14" ht="20.25">
      <c r="A7" s="86" t="s">
        <v>17</v>
      </c>
      <c r="B7" s="86"/>
      <c r="C7" s="53">
        <f>IF('Võistluste järjestused'!C6="","",'Võistluste järjestused'!C6)</f>
      </c>
      <c r="G7" s="50"/>
      <c r="N7" s="37"/>
    </row>
    <row r="8" ht="20.25">
      <c r="N8" s="37"/>
    </row>
    <row r="9" spans="1:14" ht="27">
      <c r="A9" s="87" t="s">
        <v>90</v>
      </c>
      <c r="B9" s="87"/>
      <c r="C9" s="54"/>
      <c r="G9" s="55"/>
      <c r="H9" s="37" t="s">
        <v>91</v>
      </c>
      <c r="N9" s="37"/>
    </row>
    <row r="10" spans="1:14" ht="27">
      <c r="A10" s="88" t="s">
        <v>23</v>
      </c>
      <c r="B10" s="88"/>
      <c r="C10" s="88" t="str">
        <f>IF($C$9="",H10,VLOOKUP($C$9,Tulemused!$A$5:$AP$34,2,0))</f>
        <v>SK ALG</v>
      </c>
      <c r="D10" s="88"/>
      <c r="E10" s="88"/>
      <c r="F10" s="88"/>
      <c r="G10" s="55"/>
      <c r="H10" s="56" t="s">
        <v>18</v>
      </c>
      <c r="K10" s="57" t="str">
        <f>IF(C9&lt;&gt;"",C10,IF(H10&lt;&gt;"",H10,""))</f>
        <v>SK ALG</v>
      </c>
      <c r="N10" s="37"/>
    </row>
    <row r="11" spans="1:14" ht="27">
      <c r="A11" s="88" t="s">
        <v>69</v>
      </c>
      <c r="B11" s="88"/>
      <c r="C11" s="89">
        <f>IF($C$9="","",VLOOKUP($C$9,Tulemused!$A$5:$AP$34,3,0))</f>
      </c>
      <c r="D11" s="89"/>
      <c r="E11" s="89"/>
      <c r="F11" s="89"/>
      <c r="G11" s="55"/>
      <c r="N11" s="37"/>
    </row>
    <row r="12" spans="1:14" ht="27">
      <c r="A12" s="88" t="s">
        <v>70</v>
      </c>
      <c r="B12" s="88"/>
      <c r="C12" s="58">
        <f>IF($C$9="","",VLOOKUP($C$9,Tulemused!$A$5:$AP$34,4,0))</f>
      </c>
      <c r="D12" s="59" t="s">
        <v>71</v>
      </c>
      <c r="E12" s="89">
        <f>IF($C$9="","",VLOOKUP($C$9,Tulemused!$A$5:$AP$34,5,0))</f>
      </c>
      <c r="F12" s="89"/>
      <c r="G12" s="55"/>
      <c r="N12" s="37"/>
    </row>
    <row r="13" spans="1:14" ht="27">
      <c r="A13" s="88" t="s">
        <v>73</v>
      </c>
      <c r="B13" s="88"/>
      <c r="C13" s="60">
        <f>IF($C$9="","",VLOOKUP($C$9,Tulemused!$A$5:$AP$34,7,0))</f>
      </c>
      <c r="D13" s="59" t="s">
        <v>72</v>
      </c>
      <c r="E13" s="89">
        <f>IF($C$9="","",VLOOKUP($C$9,Tulemused!$A$5:$AP$34,6,0))</f>
      </c>
      <c r="F13" s="89"/>
      <c r="G13" s="55"/>
      <c r="N13" s="37"/>
    </row>
    <row r="14" spans="3:14" ht="20.25">
      <c r="C14" s="36"/>
      <c r="N14" s="37"/>
    </row>
    <row r="15" ht="20.25">
      <c r="N15" s="37"/>
    </row>
    <row r="16" ht="20.25">
      <c r="N16" s="37"/>
    </row>
    <row r="17" spans="1:14" ht="20.25">
      <c r="A17" s="90" t="s">
        <v>21</v>
      </c>
      <c r="B17" s="90"/>
      <c r="C17" s="90"/>
      <c r="D17" s="61" t="s">
        <v>92</v>
      </c>
      <c r="E17" s="61" t="s">
        <v>93</v>
      </c>
      <c r="F17" s="61" t="s">
        <v>94</v>
      </c>
      <c r="G17" s="37"/>
      <c r="N17" s="37"/>
    </row>
    <row r="18" spans="1:14" ht="27">
      <c r="A18" s="38">
        <v>1</v>
      </c>
      <c r="B18" s="91" t="str">
        <f>IF(ISNA(IF($K$10="SK ALG",VLOOKUP(A18,'Võistluste järjestused'!$B$11:$D$18,2,0),IF($K$10="SK 1",VLOOKUP(A18,'Võistluste järjestused'!$B$23:$D$33,2,0),IF($K$10="SK 2",VLOOKUP(A18,'Võistluste järjestused'!$B$38:$D$47,2,0),IF($K$10="SK 3",VLOOKUP(A18,'Võistluste järjestused'!$B$52:$D$61,2,0),""))))),"",IF($K$10="SK ALG",VLOOKUP(A18,'Võistluste järjestused'!$B$11:$D$18,2,0),IF($K$10="SK 1",VLOOKUP(A18,'Võistluste järjestused'!$B$23:$D$33,2,0),IF($K$10="SK 2",VLOOKUP(A18,'Võistluste järjestused'!$B$38:$D$47,2,0),IF($K$10="SK 3",VLOOKUP(A18,'Võistluste järjestused'!$B$52:$D$61,2,0),"")))))</f>
        <v>Ligipääsetavus</v>
      </c>
      <c r="C18" s="91"/>
      <c r="D18" s="62">
        <f>IF(OR($C$9="",B18=""),"",VLOOKUP($C$9,Tulemused!$A$5:$AP$34,7+A18,0))</f>
      </c>
      <c r="E18" s="38">
        <f>IF(ISNA(IF($K$10="SK ALG",VLOOKUP(A18,'Võistluste järjestused'!$B$11:$D$18,3,0),IF($K$10="SK 1",VLOOKUP(A18,'Võistluste järjestused'!$B$23:$D$33,3,0),IF($K$10="SK 2",VLOOKUP(A18,'Võistluste järjestused'!$B$38:$D$47,3,0),IF($K$10="SK 3",VLOOKUP(A18,'Võistluste järjestused'!$B$52:$D$61,3,0),""))))),"",IF($K$10="SK ALG",VLOOKUP(A18,'Võistluste järjestused'!$B$11:$D$18,3,0),IF($K$10="SK 1",VLOOKUP(A18,'Võistluste järjestused'!$B$23:$D$33,3,0),IF($K$10="SK 2",VLOOKUP(A18,'Võistluste järjestused'!$B$38:$D$47,3,0),IF($K$10="SK 3",VLOOKUP(A18,'Võistluste järjestused'!$B$52:$D$61,3,0),"")))))</f>
        <v>1</v>
      </c>
      <c r="F18" s="63">
        <f aca="true" t="shared" si="0" ref="F18:F28">IF(D18="","",D18*E18)</f>
      </c>
      <c r="G18" s="55"/>
      <c r="N18" s="37"/>
    </row>
    <row r="19" spans="1:14" ht="27">
      <c r="A19" s="38">
        <v>2</v>
      </c>
      <c r="B19" s="91" t="str">
        <f>IF(ISNA(IF($K$10="SK ALG",VLOOKUP(A19,'Võistluste järjestused'!$B$11:$D$18,2,0),IF($K$10="SK 1",VLOOKUP(A19,'Võistluste järjestused'!$B$23:$D$33,2,0),IF($K$10="SK 2",VLOOKUP(A19,'Võistluste järjestused'!$B$38:$D$47,2,0),IF($K$10="SK 3",VLOOKUP(A19,'Võistluste järjestused'!$B$52:$D$61,2,0),""))))),"",IF($K$10="SK ALG",VLOOKUP(A19,'Võistluste järjestused'!$B$11:$D$18,2,0),IF($K$10="SK 1",VLOOKUP(A19,'Võistluste järjestused'!$B$23:$D$33,2,0),IF($K$10="SK 2",VLOOKUP(A19,'Võistluste järjestused'!$B$38:$D$47,2,0),IF($K$10="SK 3",VLOOKUP(A19,'Võistluste järjestused'!$B$52:$D$61,2,0),"")))))</f>
        <v>Rühmas lamamine</v>
      </c>
      <c r="C19" s="91"/>
      <c r="D19" s="62">
        <f>IF(OR($C$9="",B19=""),"",VLOOKUP($C$9,Tulemused!$A$5:$AP$34,7+A19,0))</f>
      </c>
      <c r="E19" s="38">
        <f>IF(ISNA(IF($K$10="SK ALG",VLOOKUP(A19,'Võistluste järjestused'!$B$11:$D$18,3,0),IF($K$10="SK 1",VLOOKUP(A19,'Võistluste järjestused'!$B$23:$D$33,3,0),IF($K$10="SK 2",VLOOKUP(A19,'Võistluste järjestused'!$B$38:$D$47,3,0),IF($K$10="SK 3",VLOOKUP(A19,'Võistluste järjestused'!$B$52:$D$61,3,0),""))))),"",IF($K$10="SK ALG",VLOOKUP(A19,'Võistluste järjestused'!$B$11:$D$18,3,0),IF($K$10="SK 1",VLOOKUP(A19,'Võistluste järjestused'!$B$23:$D$33,3,0),IF($K$10="SK 2",VLOOKUP(A19,'Võistluste järjestused'!$B$38:$D$47,3,0),IF($K$10="SK 3",VLOOKUP(A19,'Võistluste järjestused'!$B$52:$D$61,3,0),"")))))</f>
        <v>3</v>
      </c>
      <c r="F19" s="63">
        <f t="shared" si="0"/>
      </c>
      <c r="G19" s="55"/>
      <c r="N19" s="37"/>
    </row>
    <row r="20" spans="1:14" ht="27">
      <c r="A20" s="38">
        <v>3</v>
      </c>
      <c r="B20" s="91" t="str">
        <f>IF(ISNA(IF($K$10="SK ALG",VLOOKUP(A20,'Võistluste järjestused'!$B$11:$D$18,2,0),IF($K$10="SK 1",VLOOKUP(A20,'Võistluste järjestused'!$B$23:$D$33,2,0),IF($K$10="SK 2",VLOOKUP(A20,'Võistluste järjestused'!$B$38:$D$47,2,0),IF($K$10="SK 3",VLOOKUP(A20,'Võistluste järjestused'!$B$52:$D$61,2,0),""))))),"",IF($K$10="SK ALG",VLOOKUP(A20,'Võistluste järjestused'!$B$11:$D$18,2,0),IF($K$10="SK 1",VLOOKUP(A20,'Võistluste järjestused'!$B$23:$D$33,2,0),IF($K$10="SK 2",VLOOKUP(A20,'Võistluste järjestused'!$B$38:$D$47,2,0),IF($K$10="SK 3",VLOOKUP(A20,'Võistluste järjestused'!$B$52:$D$61,2,0),"")))))</f>
        <v>Liikumine kõrval rihma otsas</v>
      </c>
      <c r="C20" s="91"/>
      <c r="D20" s="62">
        <f>IF(OR($C$9="",B20=""),"",VLOOKUP($C$9,Tulemused!$A$5:$AP$34,7+A20,0))</f>
      </c>
      <c r="E20" s="38">
        <f>IF(ISNA(IF($K$10="SK ALG",VLOOKUP(A20,'Võistluste järjestused'!$B$11:$D$18,3,0),IF($K$10="SK 1",VLOOKUP(A20,'Võistluste järjestused'!$B$23:$D$33,3,0),IF($K$10="SK 2",VLOOKUP(A20,'Võistluste järjestused'!$B$38:$D$47,3,0),IF($K$10="SK 3",VLOOKUP(A20,'Võistluste järjestused'!$B$52:$D$61,3,0),""))))),"",IF($K$10="SK ALG",VLOOKUP(A20,'Võistluste järjestused'!$B$11:$D$18,3,0),IF($K$10="SK 1",VLOOKUP(A20,'Võistluste järjestused'!$B$23:$D$33,3,0),IF($K$10="SK 2",VLOOKUP(A20,'Võistluste järjestused'!$B$38:$D$47,3,0),IF($K$10="SK 3",VLOOKUP(A20,'Võistluste järjestused'!$B$52:$D$61,3,0),"")))))</f>
        <v>3</v>
      </c>
      <c r="F20" s="63">
        <f t="shared" si="0"/>
      </c>
      <c r="G20" s="55"/>
      <c r="N20" s="37"/>
    </row>
    <row r="21" spans="1:14" ht="27">
      <c r="A21" s="38">
        <v>4</v>
      </c>
      <c r="B21" s="91" t="str">
        <f>IF(ISNA(IF($K$10="SK ALG",VLOOKUP(A21,'Võistluste järjestused'!$B$11:$D$18,2,0),IF($K$10="SK 1",VLOOKUP(A21,'Võistluste järjestused'!$B$23:$D$33,2,0),IF($K$10="SK 2",VLOOKUP(A21,'Võistluste järjestused'!$B$38:$D$47,2,0),IF($K$10="SK 3",VLOOKUP(A21,'Võistluste järjestused'!$B$52:$D$61,2,0),""))))),"",IF($K$10="SK ALG",VLOOKUP(A21,'Võistluste järjestused'!$B$11:$D$18,2,0),IF($K$10="SK 1",VLOOKUP(A21,'Võistluste järjestused'!$B$23:$D$33,2,0),IF($K$10="SK 2",VLOOKUP(A21,'Võistluste järjestused'!$B$38:$D$47,2,0),IF($K$10="SK 3",VLOOKUP(A21,'Võistluste järjestused'!$B$52:$D$61,2,0),"")))))</f>
        <v>Lamama minek liikumise pealt</v>
      </c>
      <c r="C21" s="91"/>
      <c r="D21" s="62">
        <f>IF(OR($C$9="",B21=""),"",VLOOKUP($C$9,Tulemused!$A$5:$AP$34,7+A21,0))</f>
      </c>
      <c r="E21" s="38">
        <f>IF(ISNA(IF($K$10="SK ALG",VLOOKUP(A21,'Võistluste järjestused'!$B$11:$D$18,3,0),IF($K$10="SK 1",VLOOKUP(A21,'Võistluste järjestused'!$B$23:$D$33,3,0),IF($K$10="SK 2",VLOOKUP(A21,'Võistluste järjestused'!$B$38:$D$47,3,0),IF($K$10="SK 3",VLOOKUP(A21,'Võistluste järjestused'!$B$52:$D$61,3,0),""))))),"",IF($K$10="SK ALG",VLOOKUP(A21,'Võistluste järjestused'!$B$11:$D$18,3,0),IF($K$10="SK 1",VLOOKUP(A21,'Võistluste järjestused'!$B$23:$D$33,3,0),IF($K$10="SK 2",VLOOKUP(A21,'Võistluste järjestused'!$B$38:$D$47,3,0),IF($K$10="SK 3",VLOOKUP(A21,'Võistluste järjestused'!$B$52:$D$61,3,0),"")))))</f>
        <v>3</v>
      </c>
      <c r="F21" s="63">
        <f t="shared" si="0"/>
      </c>
      <c r="G21" s="55"/>
      <c r="N21" s="37"/>
    </row>
    <row r="22" spans="1:14" ht="27">
      <c r="A22" s="38">
        <v>5</v>
      </c>
      <c r="B22" s="91" t="str">
        <f>IF(ISNA(IF($K$10="SK ALG",VLOOKUP(A22,'Võistluste järjestused'!$B$11:$D$18,2,0),IF($K$10="SK 1",VLOOKUP(A22,'Võistluste järjestused'!$B$23:$D$33,2,0),IF($K$10="SK 2",VLOOKUP(A22,'Võistluste järjestused'!$B$38:$D$47,2,0),IF($K$10="SK 3",VLOOKUP(A22,'Võistluste järjestused'!$B$52:$D$61,2,0),""))))),"",IF($K$10="SK ALG",VLOOKUP(A22,'Võistluste järjestused'!$B$11:$D$18,2,0),IF($K$10="SK 1",VLOOKUP(A22,'Võistluste järjestused'!$B$23:$D$33,2,0),IF($K$10="SK 2",VLOOKUP(A22,'Võistluste järjestused'!$B$38:$D$47,2,0),IF($K$10="SK 3",VLOOKUP(A22,'Võistluste järjestused'!$B$52:$D$61,2,0),"")))))</f>
        <v>Juurdekutsumine</v>
      </c>
      <c r="C22" s="91"/>
      <c r="D22" s="62">
        <f>IF(OR($C$9="",B22=""),"",VLOOKUP($C$9,Tulemused!$A$5:$AP$34,7+A22,0))</f>
      </c>
      <c r="E22" s="38">
        <f>IF(ISNA(IF($K$10="SK ALG",VLOOKUP(A22,'Võistluste järjestused'!$B$11:$D$18,3,0),IF($K$10="SK 1",VLOOKUP(A22,'Võistluste järjestused'!$B$23:$D$33,3,0),IF($K$10="SK 2",VLOOKUP(A22,'Võistluste järjestused'!$B$38:$D$47,3,0),IF($K$10="SK 3",VLOOKUP(A22,'Võistluste järjestused'!$B$52:$D$61,3,0),""))))),"",IF($K$10="SK ALG",VLOOKUP(A22,'Võistluste järjestused'!$B$11:$D$18,3,0),IF($K$10="SK 1",VLOOKUP(A22,'Võistluste järjestused'!$B$23:$D$33,3,0),IF($K$10="SK 2",VLOOKUP(A22,'Võistluste järjestused'!$B$38:$D$47,3,0),IF($K$10="SK 3",VLOOKUP(A22,'Võistluste järjestused'!$B$52:$D$61,3,0),"")))))</f>
        <v>3</v>
      </c>
      <c r="F22" s="63">
        <f t="shared" si="0"/>
      </c>
      <c r="G22" s="55"/>
      <c r="N22" s="37"/>
    </row>
    <row r="23" spans="1:14" ht="27">
      <c r="A23" s="38">
        <v>6</v>
      </c>
      <c r="B23" s="91" t="str">
        <f>IF(ISNA(IF($K$10="SK ALG",VLOOKUP(A23,'Võistluste järjestused'!$B$11:$D$18,2,0),IF($K$10="SK 1",VLOOKUP(A23,'Võistluste järjestused'!$B$23:$D$33,2,0),IF($K$10="SK 2",VLOOKUP(A23,'Võistluste järjestused'!$B$38:$D$47,2,0),IF($K$10="SK 3",VLOOKUP(A23,'Võistluste järjestused'!$B$52:$D$61,2,0),""))))),"",IF($K$10="SK ALG",VLOOKUP(A23,'Võistluste järjestused'!$B$11:$D$18,2,0),IF($K$10="SK 1",VLOOKUP(A23,'Võistluste järjestused'!$B$23:$D$33,2,0),IF($K$10="SK 2",VLOOKUP(A23,'Võistluste järjestused'!$B$38:$D$47,2,0),IF($K$10="SK 3",VLOOKUP(A23,'Võistluste järjestused'!$B$52:$D$61,2,0),"")))))</f>
        <v>Seisma jäämine liikumise pealt</v>
      </c>
      <c r="C23" s="91"/>
      <c r="D23" s="62">
        <f>IF(OR($C$9="",B23=""),"",VLOOKUP($C$9,Tulemused!$A$5:$AP$34,7+A23,0))</f>
      </c>
      <c r="E23" s="38">
        <f>IF(ISNA(IF($K$10="SK ALG",VLOOKUP(A23,'Võistluste järjestused'!$B$11:$D$18,3,0),IF($K$10="SK 1",VLOOKUP(A23,'Võistluste järjestused'!$B$23:$D$33,3,0),IF($K$10="SK 2",VLOOKUP(A23,'Võistluste järjestused'!$B$38:$D$47,3,0),IF($K$10="SK 3",VLOOKUP(A23,'Võistluste järjestused'!$B$52:$D$61,3,0),""))))),"",IF($K$10="SK ALG",VLOOKUP(A23,'Võistluste järjestused'!$B$11:$D$18,3,0),IF($K$10="SK 1",VLOOKUP(A23,'Võistluste järjestused'!$B$23:$D$33,3,0),IF($K$10="SK 2",VLOOKUP(A23,'Võistluste järjestused'!$B$38:$D$47,3,0),IF($K$10="SK 3",VLOOKUP(A23,'Võistluste järjestused'!$B$52:$D$61,3,0),"")))))</f>
        <v>3</v>
      </c>
      <c r="F23" s="63">
        <f t="shared" si="0"/>
      </c>
      <c r="G23" s="55"/>
      <c r="N23" s="37"/>
    </row>
    <row r="24" spans="1:14" ht="27">
      <c r="A24" s="38">
        <v>7</v>
      </c>
      <c r="B24" s="91" t="str">
        <f>IF(ISNA(IF($K$10="SK ALG",VLOOKUP(A24,'Võistluste järjestused'!$B$11:$D$18,2,0),IF($K$10="SK 1",VLOOKUP(A24,'Võistluste järjestused'!$B$23:$D$33,2,0),IF($K$10="SK 2",VLOOKUP(A24,'Võistluste järjestused'!$B$38:$D$47,2,0),IF($K$10="SK 3",VLOOKUP(A24,'Võistluste järjestused'!$B$52:$D$61,2,0),""))))),"",IF($K$10="SK ALG",VLOOKUP(A24,'Võistluste järjestused'!$B$11:$D$18,2,0),IF($K$10="SK 1",VLOOKUP(A24,'Võistluste järjestused'!$B$23:$D$33,2,0),IF($K$10="SK 2",VLOOKUP(A24,'Võistluste järjestused'!$B$38:$D$47,2,0),IF($K$10="SK 3",VLOOKUP(A24,'Võistluste järjestused'!$B$52:$D$61,2,0),"")))))</f>
        <v>Juurdekutsumine koos hüppega üle tõkke</v>
      </c>
      <c r="C24" s="91"/>
      <c r="D24" s="62">
        <f>IF(OR($C$9="",B24=""),"",VLOOKUP($C$9,Tulemused!$A$5:$AP$34,7+A24,0))</f>
      </c>
      <c r="E24" s="38">
        <f>IF(ISNA(IF($K$10="SK ALG",VLOOKUP(A24,'Võistluste järjestused'!$B$11:$D$18,3,0),IF($K$10="SK 1",VLOOKUP(A24,'Võistluste järjestused'!$B$23:$D$33,3,0),IF($K$10="SK 2",VLOOKUP(A24,'Võistluste järjestused'!$B$38:$D$47,3,0),IF($K$10="SK 3",VLOOKUP(A24,'Võistluste järjestused'!$B$52:$D$61,3,0),""))))),"",IF($K$10="SK ALG",VLOOKUP(A24,'Võistluste järjestused'!$B$11:$D$18,3,0),IF($K$10="SK 1",VLOOKUP(A24,'Võistluste järjestused'!$B$23:$D$33,3,0),IF($K$10="SK 2",VLOOKUP(A24,'Võistluste järjestused'!$B$38:$D$47,3,0),IF($K$10="SK 3",VLOOKUP(A24,'Võistluste järjestused'!$B$52:$D$61,3,0),"")))))</f>
        <v>3</v>
      </c>
      <c r="F24" s="63">
        <f t="shared" si="0"/>
      </c>
      <c r="G24" s="55"/>
      <c r="N24" s="37"/>
    </row>
    <row r="25" spans="1:14" ht="27">
      <c r="A25" s="38">
        <v>8</v>
      </c>
      <c r="B25" s="91" t="str">
        <f>IF(ISNA(IF($K$10="SK ALG",VLOOKUP(A25,'Võistluste järjestused'!$B$11:$D$18,2,0),IF($K$10="SK 1",VLOOKUP(A25,'Võistluste järjestused'!$B$23:$D$33,2,0),IF($K$10="SK 2",VLOOKUP(A25,'Võistluste järjestused'!$B$38:$D$47,2,0),IF($K$10="SK 3",VLOOKUP(A25,'Võistluste järjestused'!$B$52:$D$61,2,0),""))))),"",IF($K$10="SK ALG",VLOOKUP(A25,'Võistluste järjestused'!$B$11:$D$18,2,0),IF($K$10="SK 1",VLOOKUP(A25,'Võistluste järjestused'!$B$23:$D$33,2,0),IF($K$10="SK 2",VLOOKUP(A25,'Võistluste järjestused'!$B$38:$D$47,2,0),IF($K$10="SK 3",VLOOKUP(A25,'Võistluste järjestused'!$B$52:$D$61,2,0),"")))))</f>
        <v>Üldmulje</v>
      </c>
      <c r="C25" s="91"/>
      <c r="D25" s="62">
        <f>IF(OR($C$9="",B25=""),"",VLOOKUP($C$9,Tulemused!$A$5:$AP$34,7+A25,0))</f>
      </c>
      <c r="E25" s="38">
        <f>IF(ISNA(IF($K$10="SK ALG",VLOOKUP(A25,'Võistluste järjestused'!$B$11:$D$18,3,0),IF($K$10="SK 1",VLOOKUP(A25,'Võistluste järjestused'!$B$23:$D$33,3,0),IF($K$10="SK 2",VLOOKUP(A25,'Võistluste järjestused'!$B$38:$D$47,3,0),IF($K$10="SK 3",VLOOKUP(A25,'Võistluste järjestused'!$B$52:$D$61,3,0),""))))),"",IF($K$10="SK ALG",VLOOKUP(A25,'Võistluste järjestused'!$B$11:$D$18,3,0),IF($K$10="SK 1",VLOOKUP(A25,'Võistluste järjestused'!$B$23:$D$33,3,0),IF($K$10="SK 2",VLOOKUP(A25,'Võistluste järjestused'!$B$38:$D$47,3,0),IF($K$10="SK 3",VLOOKUP(A25,'Võistluste järjestused'!$B$52:$D$61,3,0),"")))))</f>
        <v>1</v>
      </c>
      <c r="F25" s="63">
        <f t="shared" si="0"/>
      </c>
      <c r="G25" s="55"/>
      <c r="N25" s="37"/>
    </row>
    <row r="26" spans="1:14" ht="27">
      <c r="A26" s="38">
        <v>9</v>
      </c>
      <c r="B26" s="91">
        <f>IF(ISNA(IF($K$10="SK ALG",VLOOKUP(A26,'Võistluste järjestused'!$B$11:$D$18,2,0),IF($K$10="SK 1",VLOOKUP(A26,'Võistluste järjestused'!$B$23:$D$33,2,0),IF($K$10="SK 2",VLOOKUP(A26,'Võistluste järjestused'!$B$38:$D$47,2,0),IF($K$10="SK 3",VLOOKUP(A26,'Võistluste järjestused'!$B$52:$D$61,2,0),""))))),"",IF($K$10="SK ALG",VLOOKUP(A26,'Võistluste järjestused'!$B$11:$D$18,2,0),IF($K$10="SK 1",VLOOKUP(A26,'Võistluste järjestused'!$B$23:$D$33,2,0),IF($K$10="SK 2",VLOOKUP(A26,'Võistluste järjestused'!$B$38:$D$47,2,0),IF($K$10="SK 3",VLOOKUP(A26,'Võistluste järjestused'!$B$52:$D$61,2,0),"")))))</f>
      </c>
      <c r="C26" s="91"/>
      <c r="D26" s="62">
        <f>IF(OR($C$9="",B26=""),"",VLOOKUP($C$9,Tulemused!$A$5:$AP$34,7+A26,0))</f>
      </c>
      <c r="E26" s="38">
        <f>IF(ISNA(IF($K$10="SK ALG",VLOOKUP(A26,'Võistluste järjestused'!$B$11:$D$18,3,0),IF($K$10="SK 1",VLOOKUP(A26,'Võistluste järjestused'!$B$23:$D$33,3,0),IF($K$10="SK 2",VLOOKUP(A26,'Võistluste järjestused'!$B$38:$D$47,3,0),IF($K$10="SK 3",VLOOKUP(A26,'Võistluste järjestused'!$B$52:$D$61,3,0),""))))),"",IF($K$10="SK ALG",VLOOKUP(A26,'Võistluste järjestused'!$B$11:$D$18,3,0),IF($K$10="SK 1",VLOOKUP(A26,'Võistluste järjestused'!$B$23:$D$33,3,0),IF($K$10="SK 2",VLOOKUP(A26,'Võistluste järjestused'!$B$38:$D$47,3,0),IF($K$10="SK 3",VLOOKUP(A26,'Võistluste järjestused'!$B$52:$D$61,3,0),"")))))</f>
      </c>
      <c r="F26" s="63">
        <f t="shared" si="0"/>
      </c>
      <c r="G26" s="55"/>
      <c r="N26" s="37"/>
    </row>
    <row r="27" spans="1:14" ht="27">
      <c r="A27" s="38">
        <v>10</v>
      </c>
      <c r="B27" s="91">
        <f>IF(ISNA(IF($K$10="SK ALG",VLOOKUP(A27,'Võistluste järjestused'!$B$11:$D$18,2,0),IF($K$10="SK 1",VLOOKUP(A27,'Võistluste järjestused'!$B$23:$D$33,2,0),IF($K$10="SK 2",VLOOKUP(A27,'Võistluste järjestused'!$B$38:$D$47,2,0),IF($K$10="SK 3",VLOOKUP(A27,'Võistluste järjestused'!$B$52:$D$61,2,0),""))))),"",IF($K$10="SK ALG",VLOOKUP(A27,'Võistluste järjestused'!$B$11:$D$18,2,0),IF($K$10="SK 1",VLOOKUP(A27,'Võistluste järjestused'!$B$23:$D$33,2,0),IF($K$10="SK 2",VLOOKUP(A27,'Võistluste järjestused'!$B$38:$D$47,2,0),IF($K$10="SK 3",VLOOKUP(A27,'Võistluste järjestused'!$B$52:$D$61,2,0),"")))))</f>
      </c>
      <c r="C27" s="91"/>
      <c r="D27" s="62">
        <f>IF(OR($C$9="",B27=""),"",VLOOKUP($C$9,Tulemused!$A$5:$AP$34,7+A27,0))</f>
      </c>
      <c r="E27" s="38">
        <f>IF(ISNA(IF($K$10="SK ALG",VLOOKUP(A27,'Võistluste järjestused'!$B$11:$D$18,3,0),IF($K$10="SK 1",VLOOKUP(A27,'Võistluste järjestused'!$B$23:$D$33,3,0),IF($K$10="SK 2",VLOOKUP(A27,'Võistluste järjestused'!$B$38:$D$47,3,0),IF($K$10="SK 3",VLOOKUP(A27,'Võistluste järjestused'!$B$52:$D$61,3,0),""))))),"",IF($K$10="SK ALG",VLOOKUP(A27,'Võistluste järjestused'!$B$11:$D$18,3,0),IF($K$10="SK 1",VLOOKUP(A27,'Võistluste järjestused'!$B$23:$D$33,3,0),IF($K$10="SK 2",VLOOKUP(A27,'Võistluste järjestused'!$B$38:$D$47,3,0),IF($K$10="SK 3",VLOOKUP(A27,'Võistluste järjestused'!$B$52:$D$61,3,0),"")))))</f>
      </c>
      <c r="F27" s="63">
        <f t="shared" si="0"/>
      </c>
      <c r="G27" s="55"/>
      <c r="N27" s="37"/>
    </row>
    <row r="28" spans="1:14" ht="27">
      <c r="A28" s="38">
        <v>11</v>
      </c>
      <c r="B28" s="91">
        <f>IF(ISNA(IF($K$10="SK ALG",VLOOKUP(A28,'Võistluste järjestused'!$B$11:$D$18,2,0),IF($K$10="SK 1",VLOOKUP(A28,'Võistluste järjestused'!$B$23:$D$33,2,0),IF($K$10="SK 2",VLOOKUP(A28,'Võistluste järjestused'!$B$38:$D$47,2,0),IF($K$10="SK 3",VLOOKUP(A28,'Võistluste järjestused'!$B$52:$D$61,2,0),""))))),"",IF($K$10="SK ALG",VLOOKUP(A28,'Võistluste järjestused'!$B$11:$D$18,2,0),IF($K$10="SK 1",VLOOKUP(A28,'Võistluste järjestused'!$B$23:$D$33,2,0),IF($K$10="SK 2",VLOOKUP(A28,'Võistluste järjestused'!$B$38:$D$47,2,0),IF($K$10="SK 3",VLOOKUP(A28,'Võistluste järjestused'!$B$52:$D$61,2,0),"")))))</f>
      </c>
      <c r="C28" s="91"/>
      <c r="D28" s="62">
        <f>IF(OR($C$9="",B28=""),"",VLOOKUP($C$9,Tulemused!$A$5:$AP$34,7+A28,0))</f>
      </c>
      <c r="E28" s="38">
        <f>IF(ISNA(IF($K$10="SK ALG",VLOOKUP(A28,'Võistluste järjestused'!$B$11:$D$18,3,0),IF($K$10="SK 1",VLOOKUP(A28,'Võistluste järjestused'!$B$23:$D$33,3,0),IF($K$10="SK 2",VLOOKUP(A28,'Võistluste järjestused'!$B$38:$D$47,3,0),IF($K$10="SK 3",VLOOKUP(A28,'Võistluste järjestused'!$B$52:$D$61,3,0),""))))),"",IF($K$10="SK ALG",VLOOKUP(A28,'Võistluste järjestused'!$B$11:$D$18,3,0),IF($K$10="SK 1",VLOOKUP(A28,'Võistluste järjestused'!$B$23:$D$33,3,0),IF($K$10="SK 2",VLOOKUP(A28,'Võistluste järjestused'!$B$38:$D$47,3,0),IF($K$10="SK 3",VLOOKUP(A28,'Võistluste järjestused'!$B$52:$D$61,3,0),"")))))</f>
      </c>
      <c r="F28" s="63">
        <f t="shared" si="0"/>
      </c>
      <c r="G28" s="55"/>
      <c r="N28" s="37"/>
    </row>
    <row r="29" spans="1:14" ht="27">
      <c r="A29" s="86" t="s">
        <v>95</v>
      </c>
      <c r="B29" s="86"/>
      <c r="C29" s="86"/>
      <c r="D29" s="86"/>
      <c r="E29" s="61">
        <f>SUM(E18:E28)</f>
        <v>20</v>
      </c>
      <c r="F29" s="64">
        <f>IF(C9="","",SUM(F18:F28))</f>
      </c>
      <c r="G29" s="55"/>
      <c r="N29" s="37"/>
    </row>
    <row r="30" spans="1:14" ht="27">
      <c r="A30" s="92" t="s">
        <v>96</v>
      </c>
      <c r="B30" s="92"/>
      <c r="C30" s="92"/>
      <c r="D30" s="92"/>
      <c r="E30" s="92"/>
      <c r="F30" s="65">
        <f>IF($C$9="","",IF(VLOOKUP($C$9,Tulemused!$A$5:$AP$34,30,0)&lt;&gt;"","JAH",""))</f>
      </c>
      <c r="G30" s="55"/>
      <c r="N30" s="37"/>
    </row>
    <row r="31" spans="1:14" ht="27">
      <c r="A31" s="93">
        <f>IF(K10="SK 3","Kollane kaart:","")</f>
      </c>
      <c r="B31" s="93"/>
      <c r="C31" s="93"/>
      <c r="D31" s="67">
        <f>IF(K10="SK 3",IF($C$9="","",VLOOKUP($C$9,Tulemused!$A$5:$AP$34,31,0)),"")</f>
      </c>
      <c r="E31" s="66">
        <f>IF(K10="SK 3","Punktid:","")</f>
      </c>
      <c r="F31" s="68">
        <f>IF(C9="","",IF(K10="SK 3",D31*'Võistluste järjestused'!D63,""))</f>
      </c>
      <c r="G31" s="55"/>
      <c r="N31" s="37"/>
    </row>
    <row r="32" spans="1:14" ht="27">
      <c r="A32" s="94">
        <f>IF(K10="SK 3","Punane kaart:","")</f>
      </c>
      <c r="B32" s="94"/>
      <c r="C32" s="94"/>
      <c r="D32" s="70">
        <f>IF(K10="SK 3",IF($C$9="","",VLOOKUP($C$9,Tulemused!$A$5:$AP$34,32,0)),"")</f>
      </c>
      <c r="E32" s="69">
        <f>IF(K10="SK 3","Diskvalifitseeritud:","")</f>
      </c>
      <c r="F32" s="71">
        <f>IF(K10="SK 3",IF($C$9="","",VLOOKUP($C$9,Tulemused!$A$5:$AP$34,34,0)),"")</f>
      </c>
      <c r="G32" s="55"/>
      <c r="N32" s="37"/>
    </row>
    <row r="33" spans="1:14" ht="27">
      <c r="A33" s="72"/>
      <c r="B33" s="72"/>
      <c r="C33" s="72"/>
      <c r="D33" s="72"/>
      <c r="E33" s="66" t="s">
        <v>81</v>
      </c>
      <c r="F33" s="68">
        <f>IF($C$9="","",VLOOKUP($C$9,Tulemused!$A$5:$AP$34,35,0))</f>
      </c>
      <c r="G33" s="55"/>
      <c r="N33" s="37"/>
    </row>
    <row r="34" spans="1:14" ht="27">
      <c r="A34" s="73" t="s">
        <v>83</v>
      </c>
      <c r="G34" s="55"/>
      <c r="N34" s="37"/>
    </row>
    <row r="35" spans="1:14" ht="27.75">
      <c r="A35" s="74" t="s">
        <v>82</v>
      </c>
      <c r="B35" s="75">
        <f>IF($C$9="","",VLOOKUP($C$9,Tulemused!$A$5:$AP$34,36,0))</f>
      </c>
      <c r="C35" s="74" t="s">
        <v>83</v>
      </c>
      <c r="D35" s="75">
        <f>IF($C$9="","",VLOOKUP($C$9,Tulemused!$A$5:$AP$34,37,0))</f>
      </c>
      <c r="E35" s="74" t="s">
        <v>15</v>
      </c>
      <c r="F35" s="76">
        <f>IF($C$9="","",VLOOKUP($C$9,Tulemused!$A$5:$AP$34,42,0))</f>
      </c>
      <c r="G35" s="55"/>
      <c r="N35" s="37"/>
    </row>
    <row r="36" ht="20.25">
      <c r="N36" s="37"/>
    </row>
    <row r="37" spans="1:14" ht="20.25">
      <c r="A37" s="72" t="s">
        <v>16</v>
      </c>
      <c r="B37" s="72"/>
      <c r="C37">
        <f>IF('Võistluste järjestused'!C5="","",'Võistluste järjestused'!C5)</f>
      </c>
      <c r="N37" s="37"/>
    </row>
  </sheetData>
  <sheetProtection selectLockedCells="1" selectUnlockedCells="1"/>
  <mergeCells count="29">
    <mergeCell ref="A29:D29"/>
    <mergeCell ref="A30:E30"/>
    <mergeCell ref="A31:C31"/>
    <mergeCell ref="A32:C32"/>
    <mergeCell ref="B23:C23"/>
    <mergeCell ref="B24:C24"/>
    <mergeCell ref="B25:C25"/>
    <mergeCell ref="B26:C26"/>
    <mergeCell ref="B27:C27"/>
    <mergeCell ref="B28:C28"/>
    <mergeCell ref="A17:C17"/>
    <mergeCell ref="B18:C18"/>
    <mergeCell ref="B19:C19"/>
    <mergeCell ref="B20:C20"/>
    <mergeCell ref="B21:C21"/>
    <mergeCell ref="B22:C22"/>
    <mergeCell ref="C10:F10"/>
    <mergeCell ref="A11:B11"/>
    <mergeCell ref="C11:F11"/>
    <mergeCell ref="A12:B12"/>
    <mergeCell ref="E12:F12"/>
    <mergeCell ref="A13:B13"/>
    <mergeCell ref="E13:F13"/>
    <mergeCell ref="A4:B4"/>
    <mergeCell ref="A5:B5"/>
    <mergeCell ref="A6:B6"/>
    <mergeCell ref="A7:B7"/>
    <mergeCell ref="A9:B9"/>
    <mergeCell ref="A10:B10"/>
  </mergeCells>
  <dataValidations count="1">
    <dataValidation type="list" operator="equal" allowBlank="1" sqref="H10">
      <formula1>"SK ALG,SK 1,SK 2,SK 3"</formula1>
    </dataValidation>
  </dataValidations>
  <printOptions horizontalCentered="1"/>
  <pageMargins left="0.8194444444444444" right="0.5" top="0.65" bottom="0.4770833333333333" header="0.38472222222222224" footer="0.21180555555555555"/>
  <pageSetup firstPageNumber="1" useFirstPageNumber="1" fitToHeight="1" fitToWidth="1" horizontalDpi="300" verticalDpi="300" orientation="portrait" paperSize="9"/>
  <headerFooter alignWithMargins="0">
    <oddHeader>&amp;R&amp;"Times New Roman,Regular"&amp;12EKL-KKK</oddHeader>
    <oddFooter>&amp;C&amp;"Times New Roman,Regular"&amp;12&amp;A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 Lindi</dc:creator>
  <cp:keywords/>
  <dc:description/>
  <cp:lastModifiedBy>Elo Lindi</cp:lastModifiedBy>
  <dcterms:created xsi:type="dcterms:W3CDTF">2016-10-10T11:00:45Z</dcterms:created>
  <dcterms:modified xsi:type="dcterms:W3CDTF">2016-10-10T11:00:45Z</dcterms:modified>
  <cp:category/>
  <cp:version/>
  <cp:contentType/>
  <cp:contentStatus/>
</cp:coreProperties>
</file>